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4"/>
  </bookViews>
  <sheets>
    <sheet name="Renun" sheetId="6" r:id="rId1"/>
    <sheet name="MargEM" sheetId="4" r:id="rId2"/>
    <sheet name="Fol_Proj_1" sheetId="15" r:id="rId3"/>
    <sheet name="Fol_Proj_2" sheetId="18" r:id="rId4"/>
    <sheet name="Fol_Proj_3" sheetId="16" r:id="rId5"/>
  </sheets>
  <externalReferences>
    <externalReference r:id="rId6"/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8" i="16"/>
  <c r="C311"/>
  <c r="I310"/>
  <c r="F303"/>
  <c r="C306"/>
  <c r="I313" s="1"/>
  <c r="F291"/>
  <c r="B190"/>
  <c r="F101"/>
  <c r="F189" s="1"/>
  <c r="F109"/>
  <c r="F197" s="1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E189" s="1"/>
  <c r="D101"/>
  <c r="C113"/>
  <c r="C112"/>
  <c r="C125"/>
  <c r="C122"/>
  <c r="C116"/>
  <c r="C115"/>
  <c r="C114"/>
  <c r="C101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4"/>
  <c r="C123"/>
  <c r="C121"/>
  <c r="C120"/>
  <c r="C119"/>
  <c r="C118"/>
  <c r="C117"/>
  <c r="C102"/>
  <c r="C103"/>
  <c r="C104"/>
  <c r="C105"/>
  <c r="C106"/>
  <c r="C107"/>
  <c r="C108"/>
  <c r="C109"/>
  <c r="C110"/>
  <c r="C111"/>
  <c r="C308" i="18"/>
  <c r="I307"/>
  <c r="F305"/>
  <c r="C303"/>
  <c r="F297"/>
  <c r="F288"/>
  <c r="B331" i="15"/>
  <c r="E328"/>
  <c r="B326"/>
  <c r="H284" s="1"/>
  <c r="H290"/>
  <c r="I290" s="1"/>
  <c r="H292"/>
  <c r="I292" s="1"/>
  <c r="H291"/>
  <c r="I291" s="1"/>
  <c r="H330"/>
  <c r="H286" s="1"/>
  <c r="H288"/>
  <c r="E320"/>
  <c r="H287" s="1"/>
  <c r="E311"/>
  <c r="H285" s="1"/>
  <c r="G298"/>
  <c r="F290"/>
  <c r="C293"/>
  <c r="B293"/>
  <c r="B294" s="1"/>
  <c r="F292"/>
  <c r="G294"/>
  <c r="C294"/>
  <c r="B194"/>
  <c r="G299" l="1"/>
  <c r="G289"/>
  <c r="G285"/>
  <c r="I285" s="1"/>
  <c r="G277"/>
  <c r="G278"/>
  <c r="G284"/>
  <c r="I284" s="1"/>
  <c r="G281"/>
  <c r="G279"/>
  <c r="G283"/>
  <c r="G287"/>
  <c r="I287" s="1"/>
  <c r="G280"/>
  <c r="G282"/>
  <c r="G286"/>
  <c r="I286" s="1"/>
  <c r="G288"/>
  <c r="I288" s="1"/>
  <c r="E129" i="18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C129"/>
  <c r="C126"/>
  <c r="C120"/>
  <c r="C119"/>
  <c r="C117"/>
  <c r="C116"/>
  <c r="E163"/>
  <c r="D163"/>
  <c r="E162"/>
  <c r="D162"/>
  <c r="D253" s="1"/>
  <c r="E161"/>
  <c r="D161"/>
  <c r="E160"/>
  <c r="D160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E105"/>
  <c r="D105"/>
  <c r="B164"/>
  <c r="C161"/>
  <c r="C162"/>
  <c r="C163"/>
  <c r="C160"/>
  <c r="C106"/>
  <c r="C107"/>
  <c r="C108"/>
  <c r="C109"/>
  <c r="C110"/>
  <c r="C111"/>
  <c r="C112"/>
  <c r="C113"/>
  <c r="C114"/>
  <c r="C115"/>
  <c r="C118"/>
  <c r="C121"/>
  <c r="C122"/>
  <c r="C123"/>
  <c r="C124"/>
  <c r="C125"/>
  <c r="C127"/>
  <c r="C128"/>
  <c r="C130"/>
  <c r="C131"/>
  <c r="C132"/>
  <c r="C133"/>
  <c r="C134"/>
  <c r="C135"/>
  <c r="C136"/>
  <c r="C137"/>
  <c r="C138"/>
  <c r="C139"/>
  <c r="C140"/>
  <c r="C229" s="1"/>
  <c r="C141"/>
  <c r="C142"/>
  <c r="C231" s="1"/>
  <c r="C143"/>
  <c r="C144"/>
  <c r="C233" s="1"/>
  <c r="C145"/>
  <c r="C146"/>
  <c r="C235" s="1"/>
  <c r="C147"/>
  <c r="C148"/>
  <c r="C237" s="1"/>
  <c r="C149"/>
  <c r="C150"/>
  <c r="C239" s="1"/>
  <c r="C151"/>
  <c r="C152"/>
  <c r="C241" s="1"/>
  <c r="C153"/>
  <c r="C154"/>
  <c r="C243" s="1"/>
  <c r="C155"/>
  <c r="C156"/>
  <c r="C245" s="1"/>
  <c r="C157"/>
  <c r="C158"/>
  <c r="C247" s="1"/>
  <c r="C159"/>
  <c r="C249"/>
  <c r="C105"/>
  <c r="I264"/>
  <c r="G264"/>
  <c r="F264"/>
  <c r="B264"/>
  <c r="I254"/>
  <c r="I253"/>
  <c r="I250"/>
  <c r="B250"/>
  <c r="I249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60" s="1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251" s="1"/>
  <c r="G163"/>
  <c r="G254" s="1"/>
  <c r="F163"/>
  <c r="F254" s="1"/>
  <c r="E254"/>
  <c r="D254"/>
  <c r="H162"/>
  <c r="H253" s="1"/>
  <c r="G162"/>
  <c r="G253" s="1"/>
  <c r="G255" s="1"/>
  <c r="F162"/>
  <c r="F253" s="1"/>
  <c r="E253"/>
  <c r="E255" s="1"/>
  <c r="E264" s="1"/>
  <c r="H161"/>
  <c r="H250" s="1"/>
  <c r="G161"/>
  <c r="G250" s="1"/>
  <c r="F161"/>
  <c r="F250" s="1"/>
  <c r="E250"/>
  <c r="D250"/>
  <c r="C250"/>
  <c r="H160"/>
  <c r="H249" s="1"/>
  <c r="G160"/>
  <c r="G249" s="1"/>
  <c r="F160"/>
  <c r="F249" s="1"/>
  <c r="E249"/>
  <c r="D249"/>
  <c r="I159"/>
  <c r="I248" s="1"/>
  <c r="H159"/>
  <c r="H248" s="1"/>
  <c r="G159"/>
  <c r="G248" s="1"/>
  <c r="F159"/>
  <c r="F248" s="1"/>
  <c r="E248"/>
  <c r="D248"/>
  <c r="C248"/>
  <c r="I158"/>
  <c r="I247" s="1"/>
  <c r="H158"/>
  <c r="H247" s="1"/>
  <c r="G158"/>
  <c r="G247" s="1"/>
  <c r="F158"/>
  <c r="F247" s="1"/>
  <c r="E247"/>
  <c r="D247"/>
  <c r="I157"/>
  <c r="I246" s="1"/>
  <c r="H157"/>
  <c r="H246" s="1"/>
  <c r="G157"/>
  <c r="G246" s="1"/>
  <c r="F157"/>
  <c r="F246" s="1"/>
  <c r="E246"/>
  <c r="D246"/>
  <c r="C246"/>
  <c r="I156"/>
  <c r="I245" s="1"/>
  <c r="H156"/>
  <c r="H245" s="1"/>
  <c r="G156"/>
  <c r="G245" s="1"/>
  <c r="F156"/>
  <c r="F245" s="1"/>
  <c r="E245"/>
  <c r="D245"/>
  <c r="I155"/>
  <c r="I244" s="1"/>
  <c r="H155"/>
  <c r="H244" s="1"/>
  <c r="G155"/>
  <c r="G244" s="1"/>
  <c r="F155"/>
  <c r="F244" s="1"/>
  <c r="E244"/>
  <c r="D244"/>
  <c r="C244"/>
  <c r="I154"/>
  <c r="I243" s="1"/>
  <c r="H154"/>
  <c r="H243" s="1"/>
  <c r="G154"/>
  <c r="G243" s="1"/>
  <c r="F154"/>
  <c r="F243" s="1"/>
  <c r="E243"/>
  <c r="D243"/>
  <c r="I153"/>
  <c r="I242" s="1"/>
  <c r="H153"/>
  <c r="H242" s="1"/>
  <c r="G153"/>
  <c r="G242" s="1"/>
  <c r="F153"/>
  <c r="F242" s="1"/>
  <c r="E242"/>
  <c r="D242"/>
  <c r="C242"/>
  <c r="I152"/>
  <c r="I241" s="1"/>
  <c r="H152"/>
  <c r="H241" s="1"/>
  <c r="G152"/>
  <c r="G241" s="1"/>
  <c r="F152"/>
  <c r="F241" s="1"/>
  <c r="E241"/>
  <c r="D241"/>
  <c r="I151"/>
  <c r="I240" s="1"/>
  <c r="H151"/>
  <c r="H240" s="1"/>
  <c r="G151"/>
  <c r="G240" s="1"/>
  <c r="F151"/>
  <c r="F240" s="1"/>
  <c r="E240"/>
  <c r="D240"/>
  <c r="C240"/>
  <c r="I150"/>
  <c r="I239" s="1"/>
  <c r="H150"/>
  <c r="H239" s="1"/>
  <c r="G150"/>
  <c r="G239" s="1"/>
  <c r="F150"/>
  <c r="F239" s="1"/>
  <c r="E239"/>
  <c r="D239"/>
  <c r="I149"/>
  <c r="I238" s="1"/>
  <c r="H149"/>
  <c r="H238" s="1"/>
  <c r="G149"/>
  <c r="G238" s="1"/>
  <c r="F149"/>
  <c r="F238" s="1"/>
  <c r="E238"/>
  <c r="D238"/>
  <c r="C238"/>
  <c r="I148"/>
  <c r="I237" s="1"/>
  <c r="H148"/>
  <c r="H237" s="1"/>
  <c r="G148"/>
  <c r="G237" s="1"/>
  <c r="F148"/>
  <c r="F237" s="1"/>
  <c r="E237"/>
  <c r="D237"/>
  <c r="I147"/>
  <c r="I236" s="1"/>
  <c r="H147"/>
  <c r="H236" s="1"/>
  <c r="G147"/>
  <c r="G236" s="1"/>
  <c r="F147"/>
  <c r="F236" s="1"/>
  <c r="E236"/>
  <c r="D236"/>
  <c r="C236"/>
  <c r="I146"/>
  <c r="I235" s="1"/>
  <c r="H146"/>
  <c r="H235" s="1"/>
  <c r="G146"/>
  <c r="G235" s="1"/>
  <c r="F146"/>
  <c r="F235" s="1"/>
  <c r="E235"/>
  <c r="D235"/>
  <c r="I145"/>
  <c r="I234" s="1"/>
  <c r="H145"/>
  <c r="H234" s="1"/>
  <c r="G145"/>
  <c r="G234" s="1"/>
  <c r="F145"/>
  <c r="F234" s="1"/>
  <c r="E234"/>
  <c r="D234"/>
  <c r="C234"/>
  <c r="I144"/>
  <c r="I233" s="1"/>
  <c r="H144"/>
  <c r="H233" s="1"/>
  <c r="G144"/>
  <c r="G233" s="1"/>
  <c r="F144"/>
  <c r="F233" s="1"/>
  <c r="E233"/>
  <c r="D233"/>
  <c r="I143"/>
  <c r="I232" s="1"/>
  <c r="H143"/>
  <c r="H232" s="1"/>
  <c r="G143"/>
  <c r="G232" s="1"/>
  <c r="F143"/>
  <c r="F232" s="1"/>
  <c r="E232"/>
  <c r="D232"/>
  <c r="C232"/>
  <c r="I142"/>
  <c r="I231" s="1"/>
  <c r="H142"/>
  <c r="H231" s="1"/>
  <c r="G142"/>
  <c r="G231" s="1"/>
  <c r="F142"/>
  <c r="F231" s="1"/>
  <c r="E231"/>
  <c r="D231"/>
  <c r="I141"/>
  <c r="I230" s="1"/>
  <c r="H141"/>
  <c r="H230" s="1"/>
  <c r="G141"/>
  <c r="G230" s="1"/>
  <c r="F141"/>
  <c r="F230" s="1"/>
  <c r="E230"/>
  <c r="D230"/>
  <c r="C230"/>
  <c r="I140"/>
  <c r="I229" s="1"/>
  <c r="H140"/>
  <c r="H229" s="1"/>
  <c r="G140"/>
  <c r="G229" s="1"/>
  <c r="F140"/>
  <c r="F229" s="1"/>
  <c r="E229"/>
  <c r="D229"/>
  <c r="I139"/>
  <c r="I228" s="1"/>
  <c r="H139"/>
  <c r="H228" s="1"/>
  <c r="G139"/>
  <c r="G228" s="1"/>
  <c r="F139"/>
  <c r="F228" s="1"/>
  <c r="E228"/>
  <c r="D228"/>
  <c r="C228"/>
  <c r="I138"/>
  <c r="I227" s="1"/>
  <c r="H138"/>
  <c r="H227" s="1"/>
  <c r="G138"/>
  <c r="G227" s="1"/>
  <c r="F138"/>
  <c r="F227" s="1"/>
  <c r="E227"/>
  <c r="D227"/>
  <c r="C227"/>
  <c r="I137"/>
  <c r="I226" s="1"/>
  <c r="H137"/>
  <c r="H226" s="1"/>
  <c r="G137"/>
  <c r="G226" s="1"/>
  <c r="F137"/>
  <c r="F226" s="1"/>
  <c r="E226"/>
  <c r="D226"/>
  <c r="C226"/>
  <c r="I136"/>
  <c r="I225" s="1"/>
  <c r="I261" s="1"/>
  <c r="H136"/>
  <c r="H225" s="1"/>
  <c r="H261" s="1"/>
  <c r="G136"/>
  <c r="G225" s="1"/>
  <c r="G261" s="1"/>
  <c r="F136"/>
  <c r="F225" s="1"/>
  <c r="F261" s="1"/>
  <c r="E225"/>
  <c r="E261" s="1"/>
  <c r="D225"/>
  <c r="D261" s="1"/>
  <c r="C225"/>
  <c r="I135"/>
  <c r="I224" s="1"/>
  <c r="H135"/>
  <c r="H224" s="1"/>
  <c r="G135"/>
  <c r="G224" s="1"/>
  <c r="F135"/>
  <c r="F224" s="1"/>
  <c r="E224"/>
  <c r="D224"/>
  <c r="C224"/>
  <c r="I134"/>
  <c r="I223" s="1"/>
  <c r="H134"/>
  <c r="H223" s="1"/>
  <c r="G134"/>
  <c r="G223" s="1"/>
  <c r="F134"/>
  <c r="F223" s="1"/>
  <c r="E223"/>
  <c r="D223"/>
  <c r="C223"/>
  <c r="I133"/>
  <c r="I222" s="1"/>
  <c r="H133"/>
  <c r="H222" s="1"/>
  <c r="G133"/>
  <c r="G222" s="1"/>
  <c r="F133"/>
  <c r="F222" s="1"/>
  <c r="E222"/>
  <c r="D222"/>
  <c r="C222"/>
  <c r="I132"/>
  <c r="I221" s="1"/>
  <c r="H132"/>
  <c r="H221" s="1"/>
  <c r="G132"/>
  <c r="G221" s="1"/>
  <c r="F132"/>
  <c r="F221" s="1"/>
  <c r="E221"/>
  <c r="D221"/>
  <c r="C221"/>
  <c r="I131"/>
  <c r="I220" s="1"/>
  <c r="H131"/>
  <c r="H220" s="1"/>
  <c r="G131"/>
  <c r="G220" s="1"/>
  <c r="F131"/>
  <c r="F220" s="1"/>
  <c r="E220"/>
  <c r="D220"/>
  <c r="C220"/>
  <c r="I130"/>
  <c r="I219" s="1"/>
  <c r="H130"/>
  <c r="H219" s="1"/>
  <c r="G130"/>
  <c r="G219" s="1"/>
  <c r="F130"/>
  <c r="F219" s="1"/>
  <c r="E219"/>
  <c r="D219"/>
  <c r="C219"/>
  <c r="I129"/>
  <c r="I218" s="1"/>
  <c r="H129"/>
  <c r="H218" s="1"/>
  <c r="G129"/>
  <c r="G218" s="1"/>
  <c r="F129"/>
  <c r="F218" s="1"/>
  <c r="E218"/>
  <c r="D218"/>
  <c r="C218"/>
  <c r="I128"/>
  <c r="I217" s="1"/>
  <c r="H128"/>
  <c r="H217" s="1"/>
  <c r="G128"/>
  <c r="G217" s="1"/>
  <c r="F128"/>
  <c r="F217" s="1"/>
  <c r="E217"/>
  <c r="D217"/>
  <c r="C217"/>
  <c r="I127"/>
  <c r="I216" s="1"/>
  <c r="H127"/>
  <c r="H216" s="1"/>
  <c r="G127"/>
  <c r="G216" s="1"/>
  <c r="F127"/>
  <c r="F216" s="1"/>
  <c r="E216"/>
  <c r="D216"/>
  <c r="D260" s="1"/>
  <c r="C216"/>
  <c r="I126"/>
  <c r="I215" s="1"/>
  <c r="H126"/>
  <c r="H215" s="1"/>
  <c r="G126"/>
  <c r="G215" s="1"/>
  <c r="F126"/>
  <c r="F215" s="1"/>
  <c r="E215"/>
  <c r="D215"/>
  <c r="C215"/>
  <c r="I125"/>
  <c r="I214" s="1"/>
  <c r="H125"/>
  <c r="H214" s="1"/>
  <c r="G125"/>
  <c r="G214" s="1"/>
  <c r="F125"/>
  <c r="F214" s="1"/>
  <c r="E214"/>
  <c r="D214"/>
  <c r="C214"/>
  <c r="I124"/>
  <c r="I213" s="1"/>
  <c r="H124"/>
  <c r="H213" s="1"/>
  <c r="G124"/>
  <c r="G213" s="1"/>
  <c r="F124"/>
  <c r="F213" s="1"/>
  <c r="E213"/>
  <c r="D213"/>
  <c r="C213"/>
  <c r="I123"/>
  <c r="I212" s="1"/>
  <c r="H123"/>
  <c r="H212" s="1"/>
  <c r="G123"/>
  <c r="G212" s="1"/>
  <c r="F123"/>
  <c r="F212" s="1"/>
  <c r="E212"/>
  <c r="D212"/>
  <c r="C212"/>
  <c r="I122"/>
  <c r="I211" s="1"/>
  <c r="H122"/>
  <c r="H211" s="1"/>
  <c r="G122"/>
  <c r="G211" s="1"/>
  <c r="F122"/>
  <c r="F211" s="1"/>
  <c r="E211"/>
  <c r="D211"/>
  <c r="C211"/>
  <c r="I121"/>
  <c r="I210" s="1"/>
  <c r="H121"/>
  <c r="H210" s="1"/>
  <c r="G121"/>
  <c r="G210" s="1"/>
  <c r="F121"/>
  <c r="F210" s="1"/>
  <c r="E210"/>
  <c r="D210"/>
  <c r="C210"/>
  <c r="I120"/>
  <c r="I209" s="1"/>
  <c r="H120"/>
  <c r="H209" s="1"/>
  <c r="G120"/>
  <c r="G209" s="1"/>
  <c r="F120"/>
  <c r="F209" s="1"/>
  <c r="E209"/>
  <c r="D209"/>
  <c r="C209"/>
  <c r="I119"/>
  <c r="I208" s="1"/>
  <c r="H119"/>
  <c r="H208" s="1"/>
  <c r="G119"/>
  <c r="G208" s="1"/>
  <c r="F119"/>
  <c r="F208" s="1"/>
  <c r="E208"/>
  <c r="D208"/>
  <c r="C208"/>
  <c r="I118"/>
  <c r="I207" s="1"/>
  <c r="H118"/>
  <c r="H207" s="1"/>
  <c r="G118"/>
  <c r="G207" s="1"/>
  <c r="F118"/>
  <c r="F207" s="1"/>
  <c r="E207"/>
  <c r="D207"/>
  <c r="C207"/>
  <c r="I117"/>
  <c r="I206" s="1"/>
  <c r="H117"/>
  <c r="H206" s="1"/>
  <c r="G117"/>
  <c r="G206" s="1"/>
  <c r="F117"/>
  <c r="F206" s="1"/>
  <c r="E206"/>
  <c r="D206"/>
  <c r="C206"/>
  <c r="I116"/>
  <c r="I205" s="1"/>
  <c r="H116"/>
  <c r="H205" s="1"/>
  <c r="G116"/>
  <c r="G205" s="1"/>
  <c r="F116"/>
  <c r="F205" s="1"/>
  <c r="E205"/>
  <c r="D205"/>
  <c r="C205"/>
  <c r="I115"/>
  <c r="I204" s="1"/>
  <c r="H115"/>
  <c r="H204" s="1"/>
  <c r="G115"/>
  <c r="G204" s="1"/>
  <c r="F115"/>
  <c r="F204" s="1"/>
  <c r="E204"/>
  <c r="D204"/>
  <c r="C204"/>
  <c r="I114"/>
  <c r="I203" s="1"/>
  <c r="H114"/>
  <c r="H203" s="1"/>
  <c r="G114"/>
  <c r="G203" s="1"/>
  <c r="F114"/>
  <c r="F203" s="1"/>
  <c r="E203"/>
  <c r="D203"/>
  <c r="C203"/>
  <c r="I113"/>
  <c r="I202" s="1"/>
  <c r="H113"/>
  <c r="H202" s="1"/>
  <c r="G113"/>
  <c r="G202" s="1"/>
  <c r="F113"/>
  <c r="F202" s="1"/>
  <c r="E202"/>
  <c r="D202"/>
  <c r="C202"/>
  <c r="I112"/>
  <c r="I201" s="1"/>
  <c r="H112"/>
  <c r="H201" s="1"/>
  <c r="G112"/>
  <c r="G201" s="1"/>
  <c r="F112"/>
  <c r="F201" s="1"/>
  <c r="E201"/>
  <c r="D201"/>
  <c r="C201"/>
  <c r="I111"/>
  <c r="I200" s="1"/>
  <c r="H111"/>
  <c r="H200" s="1"/>
  <c r="G111"/>
  <c r="G200" s="1"/>
  <c r="F111"/>
  <c r="F200" s="1"/>
  <c r="E200"/>
  <c r="D200"/>
  <c r="C200"/>
  <c r="I110"/>
  <c r="I199" s="1"/>
  <c r="H110"/>
  <c r="H199" s="1"/>
  <c r="G110"/>
  <c r="G199" s="1"/>
  <c r="F110"/>
  <c r="F199" s="1"/>
  <c r="E199"/>
  <c r="D199"/>
  <c r="C199"/>
  <c r="I109"/>
  <c r="I198" s="1"/>
  <c r="H109"/>
  <c r="H198" s="1"/>
  <c r="G109"/>
  <c r="G198" s="1"/>
  <c r="F109"/>
  <c r="F198" s="1"/>
  <c r="E198"/>
  <c r="D198"/>
  <c r="C198"/>
  <c r="I108"/>
  <c r="I197" s="1"/>
  <c r="H108"/>
  <c r="H197" s="1"/>
  <c r="G108"/>
  <c r="G197" s="1"/>
  <c r="F108"/>
  <c r="F197" s="1"/>
  <c r="E197"/>
  <c r="D197"/>
  <c r="C197"/>
  <c r="I107"/>
  <c r="I196" s="1"/>
  <c r="H107"/>
  <c r="H196" s="1"/>
  <c r="G107"/>
  <c r="G196" s="1"/>
  <c r="F107"/>
  <c r="F196" s="1"/>
  <c r="E196"/>
  <c r="D196"/>
  <c r="C196"/>
  <c r="I106"/>
  <c r="I195" s="1"/>
  <c r="H106"/>
  <c r="H195" s="1"/>
  <c r="G106"/>
  <c r="G195" s="1"/>
  <c r="F106"/>
  <c r="F195" s="1"/>
  <c r="E195"/>
  <c r="D195"/>
  <c r="C195"/>
  <c r="J105"/>
  <c r="J164" s="1"/>
  <c r="J165" s="1"/>
  <c r="I105"/>
  <c r="I194" s="1"/>
  <c r="I251" s="1"/>
  <c r="H105"/>
  <c r="H194" s="1"/>
  <c r="G105"/>
  <c r="G194" s="1"/>
  <c r="G251" s="1"/>
  <c r="F105"/>
  <c r="F194" s="1"/>
  <c r="E194"/>
  <c r="E251" s="1"/>
  <c r="G77"/>
  <c r="F77"/>
  <c r="E77"/>
  <c r="D77"/>
  <c r="B77"/>
  <c r="H76"/>
  <c r="H163" s="1"/>
  <c r="H254" s="1"/>
  <c r="C76"/>
  <c r="J76" s="1"/>
  <c r="C75"/>
  <c r="I71"/>
  <c r="I72" s="1"/>
  <c r="H71"/>
  <c r="H72" s="1"/>
  <c r="G71"/>
  <c r="G72" s="1"/>
  <c r="F71"/>
  <c r="F72" s="1"/>
  <c r="E71"/>
  <c r="E72" s="1"/>
  <c r="C71"/>
  <c r="B71"/>
  <c r="C72" s="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D14"/>
  <c r="D194" s="1"/>
  <c r="D251" s="1"/>
  <c r="D255" l="1"/>
  <c r="D264" s="1"/>
  <c r="H282" i="15"/>
  <c r="I282" s="1"/>
  <c r="H279"/>
  <c r="I279" s="1"/>
  <c r="F277"/>
  <c r="H289"/>
  <c r="I289" s="1"/>
  <c r="C77" i="18"/>
  <c r="J199"/>
  <c r="G262"/>
  <c r="I262"/>
  <c r="F260"/>
  <c r="H260"/>
  <c r="F255"/>
  <c r="B261"/>
  <c r="I255"/>
  <c r="H280" i="15"/>
  <c r="I280"/>
  <c r="H283"/>
  <c r="I283"/>
  <c r="H281"/>
  <c r="I281"/>
  <c r="H278"/>
  <c r="I278"/>
  <c r="G293"/>
  <c r="G295" s="1"/>
  <c r="H277"/>
  <c r="H293" s="1"/>
  <c r="H295" s="1"/>
  <c r="E262" i="18"/>
  <c r="C262"/>
  <c r="C261"/>
  <c r="J196"/>
  <c r="J198"/>
  <c r="F251"/>
  <c r="H251"/>
  <c r="J195"/>
  <c r="J197"/>
  <c r="J14"/>
  <c r="J71" s="1"/>
  <c r="J75"/>
  <c r="H77"/>
  <c r="J77" s="1"/>
  <c r="D262"/>
  <c r="F262"/>
  <c r="H262"/>
  <c r="D259"/>
  <c r="F259"/>
  <c r="H259"/>
  <c r="C260"/>
  <c r="E260"/>
  <c r="G260"/>
  <c r="I260"/>
  <c r="H255"/>
  <c r="G164"/>
  <c r="I164"/>
  <c r="C194"/>
  <c r="C251" s="1"/>
  <c r="J200"/>
  <c r="J202"/>
  <c r="J204"/>
  <c r="J206"/>
  <c r="J208"/>
  <c r="J210"/>
  <c r="J212"/>
  <c r="J214"/>
  <c r="J218"/>
  <c r="J220"/>
  <c r="J222"/>
  <c r="J224"/>
  <c r="J226"/>
  <c r="J228"/>
  <c r="J230"/>
  <c r="J232"/>
  <c r="J234"/>
  <c r="J236"/>
  <c r="J238"/>
  <c r="J240"/>
  <c r="J242"/>
  <c r="J244"/>
  <c r="J246"/>
  <c r="J248"/>
  <c r="D71"/>
  <c r="D72" s="1"/>
  <c r="E259"/>
  <c r="G259"/>
  <c r="G263" s="1"/>
  <c r="I259"/>
  <c r="C253"/>
  <c r="C254"/>
  <c r="J254" s="1"/>
  <c r="F164"/>
  <c r="H164"/>
  <c r="J201"/>
  <c r="J203"/>
  <c r="J205"/>
  <c r="B259"/>
  <c r="J209"/>
  <c r="J211"/>
  <c r="J213"/>
  <c r="J215"/>
  <c r="J217"/>
  <c r="J219"/>
  <c r="J221"/>
  <c r="J223"/>
  <c r="J261"/>
  <c r="J227"/>
  <c r="J229"/>
  <c r="J231"/>
  <c r="J233"/>
  <c r="J235"/>
  <c r="J237"/>
  <c r="J239"/>
  <c r="J241"/>
  <c r="J243"/>
  <c r="J245"/>
  <c r="J247"/>
  <c r="J249"/>
  <c r="J250"/>
  <c r="J216"/>
  <c r="B262"/>
  <c r="J262" s="1"/>
  <c r="J267" s="1"/>
  <c r="J207"/>
  <c r="J225"/>
  <c r="I277" i="15" l="1"/>
  <c r="I293" s="1"/>
  <c r="J260" i="18"/>
  <c r="J194"/>
  <c r="C259"/>
  <c r="J259" s="1"/>
  <c r="J253"/>
  <c r="J255" s="1"/>
  <c r="C255"/>
  <c r="C264" s="1"/>
  <c r="J264" s="1"/>
  <c r="J80"/>
  <c r="F263"/>
  <c r="F265" s="1"/>
  <c r="F266" s="1"/>
  <c r="J251"/>
  <c r="J256" s="1"/>
  <c r="H263"/>
  <c r="I263"/>
  <c r="I265" s="1"/>
  <c r="I266" s="1"/>
  <c r="E263"/>
  <c r="E265" s="1"/>
  <c r="E266" s="1"/>
  <c r="D263"/>
  <c r="D265" s="1"/>
  <c r="D266" s="1"/>
  <c r="B263"/>
  <c r="G265"/>
  <c r="G266" s="1"/>
  <c r="H265"/>
  <c r="H266" s="1"/>
  <c r="C263" l="1"/>
  <c r="C265" s="1"/>
  <c r="C266" s="1"/>
  <c r="B265"/>
  <c r="B266" s="1"/>
  <c r="J257"/>
  <c r="H256" s="1"/>
  <c r="J263" l="1"/>
  <c r="J265" s="1"/>
  <c r="J266" s="1"/>
  <c r="J272" i="16" l="1"/>
  <c r="J271"/>
  <c r="B270"/>
  <c r="I250"/>
  <c r="I249"/>
  <c r="I245"/>
  <c r="B245"/>
  <c r="I244"/>
  <c r="I269" s="1"/>
  <c r="B244"/>
  <c r="B243"/>
  <c r="B268" s="1"/>
  <c r="B242"/>
  <c r="B241"/>
  <c r="B240"/>
  <c r="B239"/>
  <c r="B267" s="1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66" s="1"/>
  <c r="B214"/>
  <c r="B213"/>
  <c r="B212"/>
  <c r="B211"/>
  <c r="B172" s="1"/>
  <c r="B210"/>
  <c r="B209"/>
  <c r="B208"/>
  <c r="B207"/>
  <c r="B206"/>
  <c r="B205"/>
  <c r="B204"/>
  <c r="B203"/>
  <c r="B202"/>
  <c r="B201"/>
  <c r="B174" s="1"/>
  <c r="B200"/>
  <c r="B199"/>
  <c r="B198"/>
  <c r="B197"/>
  <c r="B196"/>
  <c r="B195"/>
  <c r="B262" s="1"/>
  <c r="B194"/>
  <c r="B261" s="1"/>
  <c r="B193"/>
  <c r="B192"/>
  <c r="B191"/>
  <c r="B259" s="1"/>
  <c r="B189"/>
  <c r="B176"/>
  <c r="B173"/>
  <c r="B160"/>
  <c r="G159"/>
  <c r="G250" s="1"/>
  <c r="F159"/>
  <c r="F250" s="1"/>
  <c r="E250"/>
  <c r="D250"/>
  <c r="H158"/>
  <c r="H249" s="1"/>
  <c r="G158"/>
  <c r="G249" s="1"/>
  <c r="F158"/>
  <c r="F249" s="1"/>
  <c r="E249"/>
  <c r="D249"/>
  <c r="H157"/>
  <c r="H245" s="1"/>
  <c r="G157"/>
  <c r="G245" s="1"/>
  <c r="F157"/>
  <c r="F245" s="1"/>
  <c r="E245"/>
  <c r="D245"/>
  <c r="C245"/>
  <c r="H156"/>
  <c r="G156"/>
  <c r="F156"/>
  <c r="E244"/>
  <c r="E269" s="1"/>
  <c r="D244"/>
  <c r="D269" s="1"/>
  <c r="C244"/>
  <c r="C269" s="1"/>
  <c r="I155"/>
  <c r="I243" s="1"/>
  <c r="I268" s="1"/>
  <c r="H155"/>
  <c r="G155"/>
  <c r="F155"/>
  <c r="E243"/>
  <c r="E268" s="1"/>
  <c r="D243"/>
  <c r="D268" s="1"/>
  <c r="C243"/>
  <c r="C268" s="1"/>
  <c r="I154"/>
  <c r="I242" s="1"/>
  <c r="H154"/>
  <c r="H242" s="1"/>
  <c r="G154"/>
  <c r="G242" s="1"/>
  <c r="F154"/>
  <c r="F242" s="1"/>
  <c r="E242"/>
  <c r="D242"/>
  <c r="C242"/>
  <c r="I153"/>
  <c r="I241" s="1"/>
  <c r="H153"/>
  <c r="H241" s="1"/>
  <c r="G153"/>
  <c r="G241" s="1"/>
  <c r="F153"/>
  <c r="F241" s="1"/>
  <c r="E241"/>
  <c r="D241"/>
  <c r="C241"/>
  <c r="I152"/>
  <c r="I240" s="1"/>
  <c r="H152"/>
  <c r="H240" s="1"/>
  <c r="G152"/>
  <c r="G240" s="1"/>
  <c r="F152"/>
  <c r="F240" s="1"/>
  <c r="E240"/>
  <c r="D240"/>
  <c r="C240"/>
  <c r="I151"/>
  <c r="I239" s="1"/>
  <c r="I267" s="1"/>
  <c r="H151"/>
  <c r="H239" s="1"/>
  <c r="G151"/>
  <c r="F151"/>
  <c r="F239" s="1"/>
  <c r="E239"/>
  <c r="E267" s="1"/>
  <c r="D239"/>
  <c r="C239"/>
  <c r="C267" s="1"/>
  <c r="I150"/>
  <c r="I238" s="1"/>
  <c r="H150"/>
  <c r="H238" s="1"/>
  <c r="G150"/>
  <c r="G238" s="1"/>
  <c r="F150"/>
  <c r="F238" s="1"/>
  <c r="E238"/>
  <c r="D238"/>
  <c r="C238"/>
  <c r="I149"/>
  <c r="I237" s="1"/>
  <c r="H149"/>
  <c r="H237" s="1"/>
  <c r="G149"/>
  <c r="G237" s="1"/>
  <c r="F149"/>
  <c r="F237" s="1"/>
  <c r="E237"/>
  <c r="D237"/>
  <c r="C237"/>
  <c r="I148"/>
  <c r="I236" s="1"/>
  <c r="H148"/>
  <c r="H236" s="1"/>
  <c r="G148"/>
  <c r="G236" s="1"/>
  <c r="F148"/>
  <c r="F236" s="1"/>
  <c r="E236"/>
  <c r="D236"/>
  <c r="C236"/>
  <c r="I147"/>
  <c r="I235" s="1"/>
  <c r="H147"/>
  <c r="H235" s="1"/>
  <c r="G147"/>
  <c r="G235" s="1"/>
  <c r="F147"/>
  <c r="F235" s="1"/>
  <c r="E235"/>
  <c r="D235"/>
  <c r="C235"/>
  <c r="I146"/>
  <c r="I234" s="1"/>
  <c r="H146"/>
  <c r="H234" s="1"/>
  <c r="G146"/>
  <c r="G234" s="1"/>
  <c r="F146"/>
  <c r="F234" s="1"/>
  <c r="E234"/>
  <c r="D234"/>
  <c r="C234"/>
  <c r="I145"/>
  <c r="I233" s="1"/>
  <c r="H145"/>
  <c r="H233" s="1"/>
  <c r="G145"/>
  <c r="G233" s="1"/>
  <c r="F145"/>
  <c r="F233" s="1"/>
  <c r="E233"/>
  <c r="D233"/>
  <c r="C233"/>
  <c r="I144"/>
  <c r="I232" s="1"/>
  <c r="H144"/>
  <c r="H232" s="1"/>
  <c r="G144"/>
  <c r="G232" s="1"/>
  <c r="F144"/>
  <c r="F232" s="1"/>
  <c r="E232"/>
  <c r="D232"/>
  <c r="C232"/>
  <c r="I143"/>
  <c r="I231" s="1"/>
  <c r="H143"/>
  <c r="H231" s="1"/>
  <c r="G143"/>
  <c r="G231" s="1"/>
  <c r="F143"/>
  <c r="F231" s="1"/>
  <c r="E231"/>
  <c r="D231"/>
  <c r="C231"/>
  <c r="I142"/>
  <c r="I230" s="1"/>
  <c r="H142"/>
  <c r="H230" s="1"/>
  <c r="G142"/>
  <c r="G230" s="1"/>
  <c r="F142"/>
  <c r="F230" s="1"/>
  <c r="E230"/>
  <c r="D230"/>
  <c r="C230"/>
  <c r="I141"/>
  <c r="I229" s="1"/>
  <c r="H141"/>
  <c r="H229" s="1"/>
  <c r="G141"/>
  <c r="G229" s="1"/>
  <c r="F141"/>
  <c r="F229" s="1"/>
  <c r="E229"/>
  <c r="D229"/>
  <c r="C229"/>
  <c r="I140"/>
  <c r="I228" s="1"/>
  <c r="H140"/>
  <c r="H228" s="1"/>
  <c r="G140"/>
  <c r="G228" s="1"/>
  <c r="F140"/>
  <c r="F228" s="1"/>
  <c r="E228"/>
  <c r="D228"/>
  <c r="C228"/>
  <c r="I139"/>
  <c r="I227" s="1"/>
  <c r="H139"/>
  <c r="H227" s="1"/>
  <c r="G139"/>
  <c r="G227" s="1"/>
  <c r="F139"/>
  <c r="F227" s="1"/>
  <c r="E227"/>
  <c r="D227"/>
  <c r="C227"/>
  <c r="I138"/>
  <c r="I226" s="1"/>
  <c r="H138"/>
  <c r="H226" s="1"/>
  <c r="G138"/>
  <c r="G226" s="1"/>
  <c r="F138"/>
  <c r="F226" s="1"/>
  <c r="E226"/>
  <c r="D226"/>
  <c r="C226"/>
  <c r="I137"/>
  <c r="I225" s="1"/>
  <c r="H137"/>
  <c r="H225" s="1"/>
  <c r="G137"/>
  <c r="G225" s="1"/>
  <c r="F137"/>
  <c r="F225" s="1"/>
  <c r="E225"/>
  <c r="D225"/>
  <c r="C225"/>
  <c r="I136"/>
  <c r="I224" s="1"/>
  <c r="H136"/>
  <c r="H224" s="1"/>
  <c r="G136"/>
  <c r="G224" s="1"/>
  <c r="F136"/>
  <c r="F224" s="1"/>
  <c r="E224"/>
  <c r="D224"/>
  <c r="C224"/>
  <c r="I135"/>
  <c r="I223" s="1"/>
  <c r="H135"/>
  <c r="H223" s="1"/>
  <c r="G135"/>
  <c r="G223" s="1"/>
  <c r="F135"/>
  <c r="F223" s="1"/>
  <c r="E223"/>
  <c r="D223"/>
  <c r="C223"/>
  <c r="I134"/>
  <c r="I222" s="1"/>
  <c r="H134"/>
  <c r="H222" s="1"/>
  <c r="G134"/>
  <c r="G222" s="1"/>
  <c r="F134"/>
  <c r="F222" s="1"/>
  <c r="E222"/>
  <c r="D222"/>
  <c r="C222"/>
  <c r="I133"/>
  <c r="I221" s="1"/>
  <c r="H133"/>
  <c r="H221" s="1"/>
  <c r="G133"/>
  <c r="G221" s="1"/>
  <c r="F133"/>
  <c r="F221" s="1"/>
  <c r="E221"/>
  <c r="D221"/>
  <c r="C221"/>
  <c r="I132"/>
  <c r="I220" s="1"/>
  <c r="I173" s="1"/>
  <c r="H132"/>
  <c r="G132"/>
  <c r="F132"/>
  <c r="E220"/>
  <c r="E173" s="1"/>
  <c r="D220"/>
  <c r="D173" s="1"/>
  <c r="C220"/>
  <c r="C173" s="1"/>
  <c r="I131"/>
  <c r="I219" s="1"/>
  <c r="H131"/>
  <c r="H219" s="1"/>
  <c r="G131"/>
  <c r="G219" s="1"/>
  <c r="F131"/>
  <c r="F219" s="1"/>
  <c r="E219"/>
  <c r="D219"/>
  <c r="C219"/>
  <c r="I130"/>
  <c r="I218" s="1"/>
  <c r="H130"/>
  <c r="H218" s="1"/>
  <c r="G130"/>
  <c r="G218" s="1"/>
  <c r="F130"/>
  <c r="F218" s="1"/>
  <c r="E218"/>
  <c r="D218"/>
  <c r="C218"/>
  <c r="I129"/>
  <c r="I217" s="1"/>
  <c r="H129"/>
  <c r="H217" s="1"/>
  <c r="G129"/>
  <c r="G217" s="1"/>
  <c r="F129"/>
  <c r="F217" s="1"/>
  <c r="E217"/>
  <c r="D217"/>
  <c r="C217"/>
  <c r="I128"/>
  <c r="I216" s="1"/>
  <c r="H128"/>
  <c r="H216" s="1"/>
  <c r="G128"/>
  <c r="G216" s="1"/>
  <c r="F128"/>
  <c r="F216" s="1"/>
  <c r="E216"/>
  <c r="D216"/>
  <c r="C216"/>
  <c r="I127"/>
  <c r="I215" s="1"/>
  <c r="I266" s="1"/>
  <c r="H127"/>
  <c r="H215" s="1"/>
  <c r="G127"/>
  <c r="F127"/>
  <c r="F215" s="1"/>
  <c r="E215"/>
  <c r="E266" s="1"/>
  <c r="D215"/>
  <c r="C215"/>
  <c r="C266" s="1"/>
  <c r="I126"/>
  <c r="I214" s="1"/>
  <c r="H126"/>
  <c r="H214" s="1"/>
  <c r="G126"/>
  <c r="G214" s="1"/>
  <c r="F126"/>
  <c r="F214" s="1"/>
  <c r="E214"/>
  <c r="D214"/>
  <c r="C214"/>
  <c r="I125"/>
  <c r="I213" s="1"/>
  <c r="H125"/>
  <c r="H213" s="1"/>
  <c r="G125"/>
  <c r="G213" s="1"/>
  <c r="F125"/>
  <c r="F213" s="1"/>
  <c r="E213"/>
  <c r="D213"/>
  <c r="C213"/>
  <c r="I124"/>
  <c r="I212" s="1"/>
  <c r="H124"/>
  <c r="H212" s="1"/>
  <c r="G124"/>
  <c r="G212" s="1"/>
  <c r="F124"/>
  <c r="F212" s="1"/>
  <c r="E212"/>
  <c r="D212"/>
  <c r="C212"/>
  <c r="I123"/>
  <c r="I211" s="1"/>
  <c r="I172" s="1"/>
  <c r="H123"/>
  <c r="G123"/>
  <c r="F123"/>
  <c r="E211"/>
  <c r="E172" s="1"/>
  <c r="D211"/>
  <c r="C211"/>
  <c r="C172" s="1"/>
  <c r="I122"/>
  <c r="I210" s="1"/>
  <c r="H122"/>
  <c r="H210" s="1"/>
  <c r="G122"/>
  <c r="G210" s="1"/>
  <c r="F122"/>
  <c r="F210" s="1"/>
  <c r="E210"/>
  <c r="D210"/>
  <c r="C210"/>
  <c r="I121"/>
  <c r="I209" s="1"/>
  <c r="H121"/>
  <c r="H209" s="1"/>
  <c r="G121"/>
  <c r="G209" s="1"/>
  <c r="F121"/>
  <c r="F209" s="1"/>
  <c r="E209"/>
  <c r="D209"/>
  <c r="C209"/>
  <c r="I120"/>
  <c r="I208" s="1"/>
  <c r="H120"/>
  <c r="H208" s="1"/>
  <c r="G120"/>
  <c r="G208" s="1"/>
  <c r="F120"/>
  <c r="F208" s="1"/>
  <c r="E208"/>
  <c r="D208"/>
  <c r="C208"/>
  <c r="I119"/>
  <c r="I207" s="1"/>
  <c r="H119"/>
  <c r="H207" s="1"/>
  <c r="G119"/>
  <c r="G207" s="1"/>
  <c r="F119"/>
  <c r="F207" s="1"/>
  <c r="E207"/>
  <c r="D207"/>
  <c r="C207"/>
  <c r="I118"/>
  <c r="I206" s="1"/>
  <c r="H118"/>
  <c r="H206" s="1"/>
  <c r="G118"/>
  <c r="G206" s="1"/>
  <c r="F118"/>
  <c r="F206" s="1"/>
  <c r="E206"/>
  <c r="D206"/>
  <c r="C206"/>
  <c r="I117"/>
  <c r="I205" s="1"/>
  <c r="H117"/>
  <c r="H205" s="1"/>
  <c r="G117"/>
  <c r="G205" s="1"/>
  <c r="F117"/>
  <c r="F205" s="1"/>
  <c r="E205"/>
  <c r="D205"/>
  <c r="C205"/>
  <c r="I116"/>
  <c r="I204" s="1"/>
  <c r="H116"/>
  <c r="H204" s="1"/>
  <c r="G116"/>
  <c r="G204" s="1"/>
  <c r="F116"/>
  <c r="F204" s="1"/>
  <c r="E204"/>
  <c r="D204"/>
  <c r="C204"/>
  <c r="I115"/>
  <c r="I203" s="1"/>
  <c r="H115"/>
  <c r="H203" s="1"/>
  <c r="G115"/>
  <c r="G203" s="1"/>
  <c r="F115"/>
  <c r="F203" s="1"/>
  <c r="E203"/>
  <c r="D203"/>
  <c r="C203"/>
  <c r="I114"/>
  <c r="I202" s="1"/>
  <c r="H114"/>
  <c r="H202" s="1"/>
  <c r="G114"/>
  <c r="G202" s="1"/>
  <c r="F114"/>
  <c r="F202" s="1"/>
  <c r="E202"/>
  <c r="D202"/>
  <c r="C202"/>
  <c r="I113"/>
  <c r="I201" s="1"/>
  <c r="H113"/>
  <c r="H201" s="1"/>
  <c r="G113"/>
  <c r="G201" s="1"/>
  <c r="F113"/>
  <c r="F201" s="1"/>
  <c r="E201"/>
  <c r="D201"/>
  <c r="C201"/>
  <c r="I112"/>
  <c r="I200" s="1"/>
  <c r="H112"/>
  <c r="H200" s="1"/>
  <c r="G112"/>
  <c r="G200" s="1"/>
  <c r="F112"/>
  <c r="F200" s="1"/>
  <c r="E200"/>
  <c r="D200"/>
  <c r="C200"/>
  <c r="I111"/>
  <c r="I199" s="1"/>
  <c r="H111"/>
  <c r="H199" s="1"/>
  <c r="G111"/>
  <c r="G199" s="1"/>
  <c r="F111"/>
  <c r="F199" s="1"/>
  <c r="E199"/>
  <c r="D199"/>
  <c r="C199"/>
  <c r="I110"/>
  <c r="I198" s="1"/>
  <c r="H110"/>
  <c r="H198" s="1"/>
  <c r="G110"/>
  <c r="F110"/>
  <c r="F198" s="1"/>
  <c r="E198"/>
  <c r="D198"/>
  <c r="C198"/>
  <c r="I109"/>
  <c r="I197" s="1"/>
  <c r="H109"/>
  <c r="H197" s="1"/>
  <c r="G109"/>
  <c r="G197" s="1"/>
  <c r="E197"/>
  <c r="D197"/>
  <c r="C197"/>
  <c r="I108"/>
  <c r="I196" s="1"/>
  <c r="I263" s="1"/>
  <c r="H108"/>
  <c r="H196" s="1"/>
  <c r="G108"/>
  <c r="F108"/>
  <c r="F196" s="1"/>
  <c r="E196"/>
  <c r="E263" s="1"/>
  <c r="D196"/>
  <c r="C196"/>
  <c r="C263" s="1"/>
  <c r="I107"/>
  <c r="I195" s="1"/>
  <c r="I262" s="1"/>
  <c r="H107"/>
  <c r="G107"/>
  <c r="F107"/>
  <c r="E195"/>
  <c r="E262" s="1"/>
  <c r="D195"/>
  <c r="D262" s="1"/>
  <c r="C195"/>
  <c r="C262" s="1"/>
  <c r="I106"/>
  <c r="I194" s="1"/>
  <c r="I261" s="1"/>
  <c r="H106"/>
  <c r="G106"/>
  <c r="F106"/>
  <c r="E194"/>
  <c r="E261" s="1"/>
  <c r="D194"/>
  <c r="D261" s="1"/>
  <c r="C194"/>
  <c r="C261" s="1"/>
  <c r="I105"/>
  <c r="I193" s="1"/>
  <c r="H105"/>
  <c r="H193" s="1"/>
  <c r="G105"/>
  <c r="G193" s="1"/>
  <c r="F105"/>
  <c r="F193" s="1"/>
  <c r="E193"/>
  <c r="D193"/>
  <c r="C193"/>
  <c r="I104"/>
  <c r="I192" s="1"/>
  <c r="I260" s="1"/>
  <c r="H104"/>
  <c r="H192" s="1"/>
  <c r="G104"/>
  <c r="F104"/>
  <c r="F192" s="1"/>
  <c r="E192"/>
  <c r="E260" s="1"/>
  <c r="D192"/>
  <c r="C192"/>
  <c r="C260" s="1"/>
  <c r="I103"/>
  <c r="I191" s="1"/>
  <c r="I259" s="1"/>
  <c r="H103"/>
  <c r="G103"/>
  <c r="G191" s="1"/>
  <c r="G259" s="1"/>
  <c r="F103"/>
  <c r="E191"/>
  <c r="E259" s="1"/>
  <c r="D191"/>
  <c r="D259" s="1"/>
  <c r="C191"/>
  <c r="C259" s="1"/>
  <c r="I102"/>
  <c r="I190" s="1"/>
  <c r="H102"/>
  <c r="H190" s="1"/>
  <c r="G102"/>
  <c r="G190" s="1"/>
  <c r="F102"/>
  <c r="F190" s="1"/>
  <c r="E190"/>
  <c r="D190"/>
  <c r="C190"/>
  <c r="J101"/>
  <c r="C189" s="1"/>
  <c r="I101"/>
  <c r="I189" s="1"/>
  <c r="H101"/>
  <c r="H189" s="1"/>
  <c r="G101"/>
  <c r="G189" s="1"/>
  <c r="D160"/>
  <c r="C160"/>
  <c r="G74"/>
  <c r="F74"/>
  <c r="E74"/>
  <c r="D74"/>
  <c r="B74"/>
  <c r="H73"/>
  <c r="H159" s="1"/>
  <c r="H250" s="1"/>
  <c r="C73"/>
  <c r="C250" s="1"/>
  <c r="J72"/>
  <c r="C72"/>
  <c r="C249" s="1"/>
  <c r="I65"/>
  <c r="I66" s="1"/>
  <c r="H65"/>
  <c r="H66" s="1"/>
  <c r="G65"/>
  <c r="G66" s="1"/>
  <c r="F65"/>
  <c r="F66" s="1"/>
  <c r="E65"/>
  <c r="E66" s="1"/>
  <c r="C65"/>
  <c r="B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D8"/>
  <c r="D189" s="1"/>
  <c r="I264" i="15"/>
  <c r="G264"/>
  <c r="F264"/>
  <c r="B264"/>
  <c r="I254"/>
  <c r="I253"/>
  <c r="I255" s="1"/>
  <c r="I250"/>
  <c r="B250"/>
  <c r="I249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251" s="1"/>
  <c r="B164"/>
  <c r="G163"/>
  <c r="G254" s="1"/>
  <c r="F163"/>
  <c r="F254" s="1"/>
  <c r="E163"/>
  <c r="E254" s="1"/>
  <c r="D163"/>
  <c r="D254" s="1"/>
  <c r="C163"/>
  <c r="H162"/>
  <c r="H253" s="1"/>
  <c r="G162"/>
  <c r="G253" s="1"/>
  <c r="G255" s="1"/>
  <c r="F162"/>
  <c r="F253" s="1"/>
  <c r="F255" s="1"/>
  <c r="E162"/>
  <c r="E253" s="1"/>
  <c r="E255" s="1"/>
  <c r="E264" s="1"/>
  <c r="D162"/>
  <c r="D253" s="1"/>
  <c r="D255" s="1"/>
  <c r="D264" s="1"/>
  <c r="C162"/>
  <c r="H161"/>
  <c r="H250" s="1"/>
  <c r="G161"/>
  <c r="G250" s="1"/>
  <c r="F161"/>
  <c r="F250" s="1"/>
  <c r="E161"/>
  <c r="E250" s="1"/>
  <c r="D161"/>
  <c r="D250" s="1"/>
  <c r="C161"/>
  <c r="C250" s="1"/>
  <c r="H160"/>
  <c r="H249" s="1"/>
  <c r="G160"/>
  <c r="G249" s="1"/>
  <c r="F160"/>
  <c r="F249" s="1"/>
  <c r="E160"/>
  <c r="E249" s="1"/>
  <c r="D160"/>
  <c r="D249" s="1"/>
  <c r="C160"/>
  <c r="C249" s="1"/>
  <c r="I159"/>
  <c r="I248" s="1"/>
  <c r="H159"/>
  <c r="H248" s="1"/>
  <c r="G159"/>
  <c r="G248" s="1"/>
  <c r="F159"/>
  <c r="F248" s="1"/>
  <c r="E159"/>
  <c r="E248" s="1"/>
  <c r="D159"/>
  <c r="D248" s="1"/>
  <c r="C159"/>
  <c r="C248" s="1"/>
  <c r="I158"/>
  <c r="I247" s="1"/>
  <c r="H158"/>
  <c r="H247" s="1"/>
  <c r="G158"/>
  <c r="G247" s="1"/>
  <c r="F158"/>
  <c r="F247" s="1"/>
  <c r="E158"/>
  <c r="E247" s="1"/>
  <c r="D158"/>
  <c r="D247" s="1"/>
  <c r="C158"/>
  <c r="C247" s="1"/>
  <c r="I157"/>
  <c r="I246" s="1"/>
  <c r="H157"/>
  <c r="H246" s="1"/>
  <c r="G157"/>
  <c r="G246" s="1"/>
  <c r="F157"/>
  <c r="F246" s="1"/>
  <c r="E157"/>
  <c r="E246" s="1"/>
  <c r="D157"/>
  <c r="D246" s="1"/>
  <c r="C157"/>
  <c r="C246" s="1"/>
  <c r="I156"/>
  <c r="I245" s="1"/>
  <c r="H156"/>
  <c r="H245" s="1"/>
  <c r="G156"/>
  <c r="G245" s="1"/>
  <c r="F156"/>
  <c r="F245" s="1"/>
  <c r="E156"/>
  <c r="E245" s="1"/>
  <c r="D156"/>
  <c r="D245" s="1"/>
  <c r="C156"/>
  <c r="C245" s="1"/>
  <c r="I155"/>
  <c r="I244" s="1"/>
  <c r="H155"/>
  <c r="H244" s="1"/>
  <c r="G155"/>
  <c r="G244" s="1"/>
  <c r="F155"/>
  <c r="F244" s="1"/>
  <c r="E155"/>
  <c r="E244" s="1"/>
  <c r="D155"/>
  <c r="D244" s="1"/>
  <c r="C155"/>
  <c r="C244" s="1"/>
  <c r="I154"/>
  <c r="I243" s="1"/>
  <c r="H154"/>
  <c r="H243" s="1"/>
  <c r="G154"/>
  <c r="G243" s="1"/>
  <c r="F154"/>
  <c r="F243" s="1"/>
  <c r="E154"/>
  <c r="E243" s="1"/>
  <c r="D154"/>
  <c r="D243" s="1"/>
  <c r="C154"/>
  <c r="C243" s="1"/>
  <c r="I153"/>
  <c r="I242" s="1"/>
  <c r="H153"/>
  <c r="H242" s="1"/>
  <c r="G153"/>
  <c r="G242" s="1"/>
  <c r="F153"/>
  <c r="F242" s="1"/>
  <c r="E153"/>
  <c r="E242" s="1"/>
  <c r="D153"/>
  <c r="D242" s="1"/>
  <c r="C153"/>
  <c r="C242" s="1"/>
  <c r="I152"/>
  <c r="I241" s="1"/>
  <c r="H152"/>
  <c r="H241" s="1"/>
  <c r="G152"/>
  <c r="G241" s="1"/>
  <c r="F152"/>
  <c r="F241" s="1"/>
  <c r="E152"/>
  <c r="E241" s="1"/>
  <c r="D152"/>
  <c r="D241" s="1"/>
  <c r="C152"/>
  <c r="C241" s="1"/>
  <c r="I151"/>
  <c r="I240" s="1"/>
  <c r="H151"/>
  <c r="H240" s="1"/>
  <c r="G151"/>
  <c r="G240" s="1"/>
  <c r="F151"/>
  <c r="F240" s="1"/>
  <c r="E151"/>
  <c r="E240" s="1"/>
  <c r="D151"/>
  <c r="D240" s="1"/>
  <c r="C151"/>
  <c r="C240" s="1"/>
  <c r="I150"/>
  <c r="I239" s="1"/>
  <c r="H150"/>
  <c r="H239" s="1"/>
  <c r="G150"/>
  <c r="G239" s="1"/>
  <c r="F150"/>
  <c r="F239" s="1"/>
  <c r="E150"/>
  <c r="E239" s="1"/>
  <c r="D150"/>
  <c r="D239" s="1"/>
  <c r="C150"/>
  <c r="C239" s="1"/>
  <c r="I149"/>
  <c r="I238" s="1"/>
  <c r="H149"/>
  <c r="H238" s="1"/>
  <c r="G149"/>
  <c r="G238" s="1"/>
  <c r="F149"/>
  <c r="F238" s="1"/>
  <c r="E149"/>
  <c r="E238" s="1"/>
  <c r="D149"/>
  <c r="D238" s="1"/>
  <c r="C149"/>
  <c r="C238" s="1"/>
  <c r="I148"/>
  <c r="I237" s="1"/>
  <c r="H148"/>
  <c r="H237" s="1"/>
  <c r="G148"/>
  <c r="G237" s="1"/>
  <c r="F148"/>
  <c r="F237" s="1"/>
  <c r="E148"/>
  <c r="E237" s="1"/>
  <c r="D148"/>
  <c r="D237" s="1"/>
  <c r="C148"/>
  <c r="C237" s="1"/>
  <c r="I147"/>
  <c r="I236" s="1"/>
  <c r="H147"/>
  <c r="H236" s="1"/>
  <c r="G147"/>
  <c r="G236" s="1"/>
  <c r="F147"/>
  <c r="F236" s="1"/>
  <c r="E147"/>
  <c r="E236" s="1"/>
  <c r="D147"/>
  <c r="D236" s="1"/>
  <c r="C147"/>
  <c r="C236" s="1"/>
  <c r="I146"/>
  <c r="I235" s="1"/>
  <c r="H146"/>
  <c r="H235" s="1"/>
  <c r="G146"/>
  <c r="G235" s="1"/>
  <c r="F146"/>
  <c r="F235" s="1"/>
  <c r="E146"/>
  <c r="E235" s="1"/>
  <c r="D146"/>
  <c r="D235" s="1"/>
  <c r="C146"/>
  <c r="C235" s="1"/>
  <c r="I145"/>
  <c r="I234" s="1"/>
  <c r="H145"/>
  <c r="H234" s="1"/>
  <c r="G145"/>
  <c r="G234" s="1"/>
  <c r="F145"/>
  <c r="F234" s="1"/>
  <c r="E145"/>
  <c r="E234" s="1"/>
  <c r="D145"/>
  <c r="D234" s="1"/>
  <c r="C145"/>
  <c r="C234" s="1"/>
  <c r="I144"/>
  <c r="I233" s="1"/>
  <c r="H144"/>
  <c r="H233" s="1"/>
  <c r="G144"/>
  <c r="G233" s="1"/>
  <c r="F144"/>
  <c r="F233" s="1"/>
  <c r="E144"/>
  <c r="E233" s="1"/>
  <c r="D144"/>
  <c r="D233" s="1"/>
  <c r="C144"/>
  <c r="C233" s="1"/>
  <c r="I143"/>
  <c r="I232" s="1"/>
  <c r="H143"/>
  <c r="H232" s="1"/>
  <c r="G143"/>
  <c r="G232" s="1"/>
  <c r="F143"/>
  <c r="F232" s="1"/>
  <c r="E143"/>
  <c r="E232" s="1"/>
  <c r="D143"/>
  <c r="D232" s="1"/>
  <c r="C143"/>
  <c r="C232" s="1"/>
  <c r="I142"/>
  <c r="I231" s="1"/>
  <c r="H142"/>
  <c r="H231" s="1"/>
  <c r="G142"/>
  <c r="G231" s="1"/>
  <c r="F142"/>
  <c r="F231" s="1"/>
  <c r="E142"/>
  <c r="E231" s="1"/>
  <c r="D142"/>
  <c r="D231" s="1"/>
  <c r="C142"/>
  <c r="C231" s="1"/>
  <c r="I141"/>
  <c r="I230" s="1"/>
  <c r="H141"/>
  <c r="H230" s="1"/>
  <c r="G141"/>
  <c r="G230" s="1"/>
  <c r="F141"/>
  <c r="F230" s="1"/>
  <c r="E141"/>
  <c r="E230" s="1"/>
  <c r="D141"/>
  <c r="D230" s="1"/>
  <c r="C141"/>
  <c r="C230" s="1"/>
  <c r="I140"/>
  <c r="I229" s="1"/>
  <c r="H140"/>
  <c r="H229" s="1"/>
  <c r="G140"/>
  <c r="G229" s="1"/>
  <c r="F140"/>
  <c r="F229" s="1"/>
  <c r="E140"/>
  <c r="E229" s="1"/>
  <c r="D140"/>
  <c r="D229" s="1"/>
  <c r="C140"/>
  <c r="C229" s="1"/>
  <c r="I139"/>
  <c r="I228" s="1"/>
  <c r="H139"/>
  <c r="H228" s="1"/>
  <c r="G139"/>
  <c r="G228" s="1"/>
  <c r="F139"/>
  <c r="F228" s="1"/>
  <c r="E139"/>
  <c r="E228" s="1"/>
  <c r="D139"/>
  <c r="D228" s="1"/>
  <c r="C139"/>
  <c r="C228" s="1"/>
  <c r="I138"/>
  <c r="I227" s="1"/>
  <c r="H138"/>
  <c r="H227" s="1"/>
  <c r="G138"/>
  <c r="G227" s="1"/>
  <c r="F138"/>
  <c r="F227" s="1"/>
  <c r="E138"/>
  <c r="E227" s="1"/>
  <c r="D138"/>
  <c r="D227" s="1"/>
  <c r="C138"/>
  <c r="C227" s="1"/>
  <c r="I137"/>
  <c r="I226" s="1"/>
  <c r="H137"/>
  <c r="H226" s="1"/>
  <c r="G137"/>
  <c r="G226" s="1"/>
  <c r="F137"/>
  <c r="F226" s="1"/>
  <c r="E137"/>
  <c r="E226" s="1"/>
  <c r="D137"/>
  <c r="D226" s="1"/>
  <c r="C137"/>
  <c r="C226" s="1"/>
  <c r="I136"/>
  <c r="I225" s="1"/>
  <c r="I261" s="1"/>
  <c r="H136"/>
  <c r="H225" s="1"/>
  <c r="G136"/>
  <c r="G225" s="1"/>
  <c r="G261" s="1"/>
  <c r="F136"/>
  <c r="F225" s="1"/>
  <c r="E136"/>
  <c r="E225" s="1"/>
  <c r="E261" s="1"/>
  <c r="D136"/>
  <c r="D225" s="1"/>
  <c r="C136"/>
  <c r="C225" s="1"/>
  <c r="C261" s="1"/>
  <c r="I135"/>
  <c r="I224" s="1"/>
  <c r="H135"/>
  <c r="H224" s="1"/>
  <c r="G135"/>
  <c r="G224" s="1"/>
  <c r="F135"/>
  <c r="F224" s="1"/>
  <c r="E135"/>
  <c r="E224" s="1"/>
  <c r="D135"/>
  <c r="D224" s="1"/>
  <c r="C135"/>
  <c r="C224" s="1"/>
  <c r="I134"/>
  <c r="I223" s="1"/>
  <c r="H134"/>
  <c r="H223" s="1"/>
  <c r="G134"/>
  <c r="G223" s="1"/>
  <c r="F134"/>
  <c r="F223" s="1"/>
  <c r="E134"/>
  <c r="E223" s="1"/>
  <c r="D134"/>
  <c r="D223" s="1"/>
  <c r="C134"/>
  <c r="C223" s="1"/>
  <c r="I133"/>
  <c r="I222" s="1"/>
  <c r="H133"/>
  <c r="H222" s="1"/>
  <c r="G133"/>
  <c r="G222" s="1"/>
  <c r="F133"/>
  <c r="F222" s="1"/>
  <c r="E133"/>
  <c r="E222" s="1"/>
  <c r="D133"/>
  <c r="D222" s="1"/>
  <c r="C133"/>
  <c r="C222" s="1"/>
  <c r="I132"/>
  <c r="I221" s="1"/>
  <c r="H132"/>
  <c r="H221" s="1"/>
  <c r="G132"/>
  <c r="G221" s="1"/>
  <c r="F132"/>
  <c r="F221" s="1"/>
  <c r="E132"/>
  <c r="E221" s="1"/>
  <c r="D132"/>
  <c r="D221" s="1"/>
  <c r="C132"/>
  <c r="C221" s="1"/>
  <c r="I131"/>
  <c r="I220" s="1"/>
  <c r="H131"/>
  <c r="H220" s="1"/>
  <c r="G131"/>
  <c r="G220" s="1"/>
  <c r="F131"/>
  <c r="F220" s="1"/>
  <c r="E131"/>
  <c r="E220" s="1"/>
  <c r="D131"/>
  <c r="D220" s="1"/>
  <c r="C131"/>
  <c r="C220" s="1"/>
  <c r="I130"/>
  <c r="I219" s="1"/>
  <c r="H130"/>
  <c r="H219" s="1"/>
  <c r="G130"/>
  <c r="G219" s="1"/>
  <c r="F130"/>
  <c r="F219" s="1"/>
  <c r="E130"/>
  <c r="E219" s="1"/>
  <c r="D130"/>
  <c r="D219" s="1"/>
  <c r="C130"/>
  <c r="C219" s="1"/>
  <c r="I129"/>
  <c r="I218" s="1"/>
  <c r="H129"/>
  <c r="H218" s="1"/>
  <c r="G129"/>
  <c r="G218" s="1"/>
  <c r="F129"/>
  <c r="F218" s="1"/>
  <c r="E129"/>
  <c r="E218" s="1"/>
  <c r="D129"/>
  <c r="D218" s="1"/>
  <c r="C129"/>
  <c r="C218" s="1"/>
  <c r="I128"/>
  <c r="I217" s="1"/>
  <c r="H128"/>
  <c r="H217" s="1"/>
  <c r="G128"/>
  <c r="G217" s="1"/>
  <c r="F128"/>
  <c r="F217" s="1"/>
  <c r="E128"/>
  <c r="E217" s="1"/>
  <c r="D128"/>
  <c r="D217" s="1"/>
  <c r="C128"/>
  <c r="C217" s="1"/>
  <c r="I127"/>
  <c r="I216" s="1"/>
  <c r="H127"/>
  <c r="H216" s="1"/>
  <c r="H260" s="1"/>
  <c r="G127"/>
  <c r="G216" s="1"/>
  <c r="F127"/>
  <c r="F216" s="1"/>
  <c r="F260" s="1"/>
  <c r="E127"/>
  <c r="E216" s="1"/>
  <c r="D127"/>
  <c r="D216" s="1"/>
  <c r="D260" s="1"/>
  <c r="C127"/>
  <c r="C216" s="1"/>
  <c r="I126"/>
  <c r="I215" s="1"/>
  <c r="H126"/>
  <c r="H215" s="1"/>
  <c r="G126"/>
  <c r="G215" s="1"/>
  <c r="F126"/>
  <c r="F215" s="1"/>
  <c r="E126"/>
  <c r="E215" s="1"/>
  <c r="D126"/>
  <c r="D215" s="1"/>
  <c r="C126"/>
  <c r="C215" s="1"/>
  <c r="I125"/>
  <c r="I214" s="1"/>
  <c r="H125"/>
  <c r="H214" s="1"/>
  <c r="G125"/>
  <c r="G214" s="1"/>
  <c r="F125"/>
  <c r="F214" s="1"/>
  <c r="E125"/>
  <c r="E214" s="1"/>
  <c r="D125"/>
  <c r="D214" s="1"/>
  <c r="C125"/>
  <c r="C214" s="1"/>
  <c r="I124"/>
  <c r="I213" s="1"/>
  <c r="H124"/>
  <c r="H213" s="1"/>
  <c r="G124"/>
  <c r="G213" s="1"/>
  <c r="F124"/>
  <c r="F213" s="1"/>
  <c r="E124"/>
  <c r="E213" s="1"/>
  <c r="D124"/>
  <c r="D213" s="1"/>
  <c r="C124"/>
  <c r="C213" s="1"/>
  <c r="I123"/>
  <c r="I212" s="1"/>
  <c r="H123"/>
  <c r="H212" s="1"/>
  <c r="G123"/>
  <c r="G212" s="1"/>
  <c r="F123"/>
  <c r="F212" s="1"/>
  <c r="E123"/>
  <c r="E212" s="1"/>
  <c r="D123"/>
  <c r="D212" s="1"/>
  <c r="C123"/>
  <c r="C212" s="1"/>
  <c r="I122"/>
  <c r="I211" s="1"/>
  <c r="H122"/>
  <c r="H211" s="1"/>
  <c r="G122"/>
  <c r="G211" s="1"/>
  <c r="F122"/>
  <c r="F211" s="1"/>
  <c r="E122"/>
  <c r="E211" s="1"/>
  <c r="D122"/>
  <c r="D211" s="1"/>
  <c r="C122"/>
  <c r="C211" s="1"/>
  <c r="I121"/>
  <c r="I210" s="1"/>
  <c r="H121"/>
  <c r="H210" s="1"/>
  <c r="G121"/>
  <c r="G210" s="1"/>
  <c r="F121"/>
  <c r="F210" s="1"/>
  <c r="E121"/>
  <c r="E210" s="1"/>
  <c r="D121"/>
  <c r="D210" s="1"/>
  <c r="C121"/>
  <c r="C210" s="1"/>
  <c r="I120"/>
  <c r="I209" s="1"/>
  <c r="H120"/>
  <c r="H209" s="1"/>
  <c r="G120"/>
  <c r="G209" s="1"/>
  <c r="F120"/>
  <c r="F209" s="1"/>
  <c r="E120"/>
  <c r="E209" s="1"/>
  <c r="D120"/>
  <c r="D209" s="1"/>
  <c r="C120"/>
  <c r="C209" s="1"/>
  <c r="I119"/>
  <c r="I208" s="1"/>
  <c r="H119"/>
  <c r="H208" s="1"/>
  <c r="G119"/>
  <c r="G208" s="1"/>
  <c r="F119"/>
  <c r="F208" s="1"/>
  <c r="E119"/>
  <c r="E208" s="1"/>
  <c r="D119"/>
  <c r="D208" s="1"/>
  <c r="C119"/>
  <c r="C208" s="1"/>
  <c r="I118"/>
  <c r="I207" s="1"/>
  <c r="H118"/>
  <c r="H207" s="1"/>
  <c r="G118"/>
  <c r="G207" s="1"/>
  <c r="F118"/>
  <c r="F207" s="1"/>
  <c r="E118"/>
  <c r="E207" s="1"/>
  <c r="D118"/>
  <c r="D207" s="1"/>
  <c r="C118"/>
  <c r="C207" s="1"/>
  <c r="I117"/>
  <c r="I206" s="1"/>
  <c r="H117"/>
  <c r="H206" s="1"/>
  <c r="G117"/>
  <c r="G206" s="1"/>
  <c r="F117"/>
  <c r="F206" s="1"/>
  <c r="E117"/>
  <c r="E206" s="1"/>
  <c r="D117"/>
  <c r="D206" s="1"/>
  <c r="C117"/>
  <c r="C206" s="1"/>
  <c r="I116"/>
  <c r="I205" s="1"/>
  <c r="I262" s="1"/>
  <c r="H116"/>
  <c r="H205" s="1"/>
  <c r="G116"/>
  <c r="G205" s="1"/>
  <c r="G262" s="1"/>
  <c r="F116"/>
  <c r="F205" s="1"/>
  <c r="E116"/>
  <c r="E205" s="1"/>
  <c r="E262" s="1"/>
  <c r="D116"/>
  <c r="D205" s="1"/>
  <c r="C116"/>
  <c r="C205" s="1"/>
  <c r="C262" s="1"/>
  <c r="I115"/>
  <c r="I204" s="1"/>
  <c r="H115"/>
  <c r="H204" s="1"/>
  <c r="G115"/>
  <c r="G204" s="1"/>
  <c r="F115"/>
  <c r="F204" s="1"/>
  <c r="E115"/>
  <c r="E204" s="1"/>
  <c r="D115"/>
  <c r="D204" s="1"/>
  <c r="C115"/>
  <c r="C204" s="1"/>
  <c r="I114"/>
  <c r="I203" s="1"/>
  <c r="H114"/>
  <c r="H203" s="1"/>
  <c r="G114"/>
  <c r="G203" s="1"/>
  <c r="F114"/>
  <c r="F203" s="1"/>
  <c r="E114"/>
  <c r="E203" s="1"/>
  <c r="D114"/>
  <c r="D203" s="1"/>
  <c r="C114"/>
  <c r="C203" s="1"/>
  <c r="I113"/>
  <c r="I202" s="1"/>
  <c r="H113"/>
  <c r="H202" s="1"/>
  <c r="G113"/>
  <c r="G202" s="1"/>
  <c r="F113"/>
  <c r="F202" s="1"/>
  <c r="E113"/>
  <c r="E202" s="1"/>
  <c r="D113"/>
  <c r="D202" s="1"/>
  <c r="C113"/>
  <c r="C202" s="1"/>
  <c r="I112"/>
  <c r="I201" s="1"/>
  <c r="H112"/>
  <c r="H201" s="1"/>
  <c r="G112"/>
  <c r="G201" s="1"/>
  <c r="F112"/>
  <c r="F201" s="1"/>
  <c r="E112"/>
  <c r="E201" s="1"/>
  <c r="D112"/>
  <c r="D201" s="1"/>
  <c r="C112"/>
  <c r="C201" s="1"/>
  <c r="I111"/>
  <c r="I200" s="1"/>
  <c r="H111"/>
  <c r="H200" s="1"/>
  <c r="G111"/>
  <c r="G200" s="1"/>
  <c r="F111"/>
  <c r="F200" s="1"/>
  <c r="E111"/>
  <c r="E200" s="1"/>
  <c r="D111"/>
  <c r="D200" s="1"/>
  <c r="C111"/>
  <c r="C200" s="1"/>
  <c r="I110"/>
  <c r="I199" s="1"/>
  <c r="H110"/>
  <c r="H199" s="1"/>
  <c r="G110"/>
  <c r="G199" s="1"/>
  <c r="F110"/>
  <c r="F199" s="1"/>
  <c r="E110"/>
  <c r="E199" s="1"/>
  <c r="D110"/>
  <c r="D199" s="1"/>
  <c r="C110"/>
  <c r="C199" s="1"/>
  <c r="I109"/>
  <c r="I198" s="1"/>
  <c r="H109"/>
  <c r="H198" s="1"/>
  <c r="G109"/>
  <c r="G198" s="1"/>
  <c r="F109"/>
  <c r="F198" s="1"/>
  <c r="E109"/>
  <c r="E198" s="1"/>
  <c r="D109"/>
  <c r="D198" s="1"/>
  <c r="C109"/>
  <c r="C198" s="1"/>
  <c r="I108"/>
  <c r="I197" s="1"/>
  <c r="H108"/>
  <c r="H197" s="1"/>
  <c r="G108"/>
  <c r="G197" s="1"/>
  <c r="F108"/>
  <c r="F197" s="1"/>
  <c r="E108"/>
  <c r="E197" s="1"/>
  <c r="D108"/>
  <c r="D197" s="1"/>
  <c r="C108"/>
  <c r="C197" s="1"/>
  <c r="I107"/>
  <c r="I196" s="1"/>
  <c r="H107"/>
  <c r="H196" s="1"/>
  <c r="G107"/>
  <c r="G196" s="1"/>
  <c r="F107"/>
  <c r="F196" s="1"/>
  <c r="E107"/>
  <c r="E196" s="1"/>
  <c r="D107"/>
  <c r="D196" s="1"/>
  <c r="C107"/>
  <c r="C196" s="1"/>
  <c r="I106"/>
  <c r="I195" s="1"/>
  <c r="H106"/>
  <c r="H195" s="1"/>
  <c r="G106"/>
  <c r="G195" s="1"/>
  <c r="F106"/>
  <c r="F195" s="1"/>
  <c r="E106"/>
  <c r="E195" s="1"/>
  <c r="D106"/>
  <c r="D195" s="1"/>
  <c r="C106"/>
  <c r="C195" s="1"/>
  <c r="J105"/>
  <c r="I105"/>
  <c r="I194" s="1"/>
  <c r="I251" s="1"/>
  <c r="H105"/>
  <c r="H194" s="1"/>
  <c r="G105"/>
  <c r="G194" s="1"/>
  <c r="G251" s="1"/>
  <c r="F105"/>
  <c r="F194" s="1"/>
  <c r="E105"/>
  <c r="E194" s="1"/>
  <c r="E251" s="1"/>
  <c r="D105"/>
  <c r="C105"/>
  <c r="C164" s="1"/>
  <c r="G77"/>
  <c r="F77"/>
  <c r="E77"/>
  <c r="D77"/>
  <c r="B77"/>
  <c r="H76"/>
  <c r="H163" s="1"/>
  <c r="H254" s="1"/>
  <c r="C76"/>
  <c r="C75"/>
  <c r="C77" s="1"/>
  <c r="I71"/>
  <c r="I72" s="1"/>
  <c r="H71"/>
  <c r="H72" s="1"/>
  <c r="G71"/>
  <c r="G72" s="1"/>
  <c r="F71"/>
  <c r="F72" s="1"/>
  <c r="E71"/>
  <c r="E72" s="1"/>
  <c r="C71"/>
  <c r="B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71" s="1"/>
  <c r="D14"/>
  <c r="D194" s="1"/>
  <c r="G13" i="6"/>
  <c r="H13" s="1"/>
  <c r="F259" i="16" l="1"/>
  <c r="F191"/>
  <c r="H259"/>
  <c r="H191"/>
  <c r="G260"/>
  <c r="G192"/>
  <c r="G261"/>
  <c r="G194"/>
  <c r="F195"/>
  <c r="F262" s="1"/>
  <c r="H195"/>
  <c r="H262" s="1"/>
  <c r="G196"/>
  <c r="G263" s="1"/>
  <c r="G211"/>
  <c r="G172" s="1"/>
  <c r="J172" s="1"/>
  <c r="G215"/>
  <c r="G266" s="1"/>
  <c r="F220"/>
  <c r="F173" s="1"/>
  <c r="H220"/>
  <c r="H173" s="1"/>
  <c r="G239"/>
  <c r="G267" s="1"/>
  <c r="G243"/>
  <c r="G268" s="1"/>
  <c r="J268" s="1"/>
  <c r="F244"/>
  <c r="F269" s="1"/>
  <c r="H244"/>
  <c r="H269" s="1"/>
  <c r="J8"/>
  <c r="J65" s="1"/>
  <c r="C66"/>
  <c r="F194"/>
  <c r="F261" s="1"/>
  <c r="H194"/>
  <c r="H261" s="1"/>
  <c r="G195"/>
  <c r="G262" s="1"/>
  <c r="C264"/>
  <c r="E264"/>
  <c r="G198"/>
  <c r="G264" s="1"/>
  <c r="I264"/>
  <c r="F172"/>
  <c r="F211"/>
  <c r="H172"/>
  <c r="H211"/>
  <c r="G173"/>
  <c r="G220"/>
  <c r="F268"/>
  <c r="F243"/>
  <c r="H268"/>
  <c r="H243"/>
  <c r="G269"/>
  <c r="G244"/>
  <c r="F251"/>
  <c r="B260"/>
  <c r="B263"/>
  <c r="B264"/>
  <c r="B265"/>
  <c r="I270"/>
  <c r="D172"/>
  <c r="J164" i="15"/>
  <c r="J165" s="1"/>
  <c r="C194"/>
  <c r="C253"/>
  <c r="C254"/>
  <c r="B260"/>
  <c r="C72"/>
  <c r="J76"/>
  <c r="D164"/>
  <c r="D258" i="16"/>
  <c r="D246"/>
  <c r="G258"/>
  <c r="G246"/>
  <c r="I258"/>
  <c r="I246"/>
  <c r="G265"/>
  <c r="G174"/>
  <c r="F258"/>
  <c r="F246"/>
  <c r="H258"/>
  <c r="H246"/>
  <c r="C258"/>
  <c r="C246"/>
  <c r="D265"/>
  <c r="D174"/>
  <c r="F265"/>
  <c r="F174"/>
  <c r="H265"/>
  <c r="H174"/>
  <c r="D260"/>
  <c r="F260"/>
  <c r="J260" s="1"/>
  <c r="H260"/>
  <c r="D263"/>
  <c r="F263"/>
  <c r="H263"/>
  <c r="D264"/>
  <c r="F264"/>
  <c r="H264"/>
  <c r="D171"/>
  <c r="J190"/>
  <c r="E258"/>
  <c r="E246"/>
  <c r="C265"/>
  <c r="C174"/>
  <c r="E265"/>
  <c r="E174"/>
  <c r="I265"/>
  <c r="I174"/>
  <c r="C171"/>
  <c r="E171"/>
  <c r="J193"/>
  <c r="J197"/>
  <c r="J199"/>
  <c r="J249"/>
  <c r="C270"/>
  <c r="C251"/>
  <c r="C176" s="1"/>
  <c r="E270"/>
  <c r="E251"/>
  <c r="E176" s="1"/>
  <c r="G270"/>
  <c r="G251"/>
  <c r="G171" s="1"/>
  <c r="B258"/>
  <c r="B246"/>
  <c r="D65"/>
  <c r="D66" s="1"/>
  <c r="J250"/>
  <c r="J73"/>
  <c r="C74"/>
  <c r="D266"/>
  <c r="F266"/>
  <c r="H266"/>
  <c r="D267"/>
  <c r="F267"/>
  <c r="H267"/>
  <c r="F160"/>
  <c r="H160"/>
  <c r="J160"/>
  <c r="J161" s="1"/>
  <c r="B171"/>
  <c r="J189"/>
  <c r="J259"/>
  <c r="J191"/>
  <c r="J195"/>
  <c r="J201"/>
  <c r="J202"/>
  <c r="J204"/>
  <c r="J206"/>
  <c r="J208"/>
  <c r="J210"/>
  <c r="J212"/>
  <c r="J214"/>
  <c r="J216"/>
  <c r="J218"/>
  <c r="J220"/>
  <c r="J222"/>
  <c r="J224"/>
  <c r="J226"/>
  <c r="J228"/>
  <c r="J230"/>
  <c r="J232"/>
  <c r="J234"/>
  <c r="J236"/>
  <c r="J238"/>
  <c r="J240"/>
  <c r="J242"/>
  <c r="J244"/>
  <c r="J245"/>
  <c r="D270"/>
  <c r="D251"/>
  <c r="D176" s="1"/>
  <c r="F270"/>
  <c r="F171"/>
  <c r="H270"/>
  <c r="H251"/>
  <c r="H171" s="1"/>
  <c r="H74"/>
  <c r="J74" s="1"/>
  <c r="J77" s="1"/>
  <c r="E160"/>
  <c r="G160"/>
  <c r="I160"/>
  <c r="J192"/>
  <c r="J194"/>
  <c r="J196"/>
  <c r="J198"/>
  <c r="J200"/>
  <c r="J203"/>
  <c r="J205"/>
  <c r="J207"/>
  <c r="J209"/>
  <c r="J211"/>
  <c r="J213"/>
  <c r="J217"/>
  <c r="J219"/>
  <c r="J221"/>
  <c r="J223"/>
  <c r="J225"/>
  <c r="J227"/>
  <c r="J229"/>
  <c r="J231"/>
  <c r="J233"/>
  <c r="J235"/>
  <c r="J237"/>
  <c r="J241"/>
  <c r="J215"/>
  <c r="J239"/>
  <c r="J243"/>
  <c r="I251"/>
  <c r="I171" s="1"/>
  <c r="B269"/>
  <c r="J253" i="15"/>
  <c r="E259"/>
  <c r="G259"/>
  <c r="I259"/>
  <c r="J254"/>
  <c r="J196"/>
  <c r="E279" s="1"/>
  <c r="F279" s="1"/>
  <c r="J198"/>
  <c r="J200"/>
  <c r="E282" s="1"/>
  <c r="F282" s="1"/>
  <c r="J202"/>
  <c r="J204"/>
  <c r="J206"/>
  <c r="J208"/>
  <c r="J210"/>
  <c r="J212"/>
  <c r="J214"/>
  <c r="J218"/>
  <c r="J220"/>
  <c r="J222"/>
  <c r="J224"/>
  <c r="J226"/>
  <c r="J228"/>
  <c r="J230"/>
  <c r="J232"/>
  <c r="J234"/>
  <c r="J236"/>
  <c r="J238"/>
  <c r="J240"/>
  <c r="J242"/>
  <c r="J244"/>
  <c r="J246"/>
  <c r="J248"/>
  <c r="E288" s="1"/>
  <c r="F288" s="1"/>
  <c r="D251"/>
  <c r="F251"/>
  <c r="H251"/>
  <c r="J195"/>
  <c r="J197"/>
  <c r="J199"/>
  <c r="J250"/>
  <c r="J75"/>
  <c r="H77"/>
  <c r="J77" s="1"/>
  <c r="J80" s="1"/>
  <c r="D262"/>
  <c r="F262"/>
  <c r="H262"/>
  <c r="D259"/>
  <c r="F259"/>
  <c r="C260"/>
  <c r="E260"/>
  <c r="G260"/>
  <c r="I260"/>
  <c r="D261"/>
  <c r="F261"/>
  <c r="H261"/>
  <c r="H255"/>
  <c r="H259" s="1"/>
  <c r="E164"/>
  <c r="G164"/>
  <c r="I164"/>
  <c r="C251"/>
  <c r="J201"/>
  <c r="J203"/>
  <c r="J205"/>
  <c r="B259"/>
  <c r="J209"/>
  <c r="J211"/>
  <c r="J213"/>
  <c r="J215"/>
  <c r="J217"/>
  <c r="J219"/>
  <c r="J221"/>
  <c r="J223"/>
  <c r="B261"/>
  <c r="J227"/>
  <c r="J229"/>
  <c r="J231"/>
  <c r="J233"/>
  <c r="J235"/>
  <c r="J237"/>
  <c r="J239"/>
  <c r="J241"/>
  <c r="J243"/>
  <c r="J245"/>
  <c r="J247"/>
  <c r="J249"/>
  <c r="E289" s="1"/>
  <c r="F289" s="1"/>
  <c r="D71"/>
  <c r="D72" s="1"/>
  <c r="F164"/>
  <c r="H164"/>
  <c r="J216"/>
  <c r="B262"/>
  <c r="J207"/>
  <c r="J225"/>
  <c r="J261" i="16" l="1"/>
  <c r="J173"/>
  <c r="J262"/>
  <c r="J267"/>
  <c r="J269"/>
  <c r="J264"/>
  <c r="C255" i="15"/>
  <c r="E291" s="1"/>
  <c r="J266" i="16"/>
  <c r="J265"/>
  <c r="J263"/>
  <c r="J176"/>
  <c r="J251"/>
  <c r="J246"/>
  <c r="J270"/>
  <c r="J174"/>
  <c r="J179" s="1"/>
  <c r="J260" i="15"/>
  <c r="E283"/>
  <c r="F283" s="1"/>
  <c r="E280"/>
  <c r="F280" s="1"/>
  <c r="E284"/>
  <c r="F284" s="1"/>
  <c r="C264"/>
  <c r="J264" s="1"/>
  <c r="F291"/>
  <c r="E281"/>
  <c r="F281" s="1"/>
  <c r="E287"/>
  <c r="F287" s="1"/>
  <c r="E286"/>
  <c r="F286" s="1"/>
  <c r="E285"/>
  <c r="F285" s="1"/>
  <c r="B263"/>
  <c r="J194"/>
  <c r="J261"/>
  <c r="E263"/>
  <c r="E265" s="1"/>
  <c r="E266" s="1"/>
  <c r="G263"/>
  <c r="C259"/>
  <c r="J259" s="1"/>
  <c r="J258" i="16"/>
  <c r="B273"/>
  <c r="J171"/>
  <c r="E273"/>
  <c r="B175"/>
  <c r="E175"/>
  <c r="E177" s="1"/>
  <c r="E178" s="1"/>
  <c r="C273"/>
  <c r="H273"/>
  <c r="F273"/>
  <c r="I273"/>
  <c r="G273"/>
  <c r="D273"/>
  <c r="C175"/>
  <c r="C177" s="1"/>
  <c r="C178" s="1"/>
  <c r="H175"/>
  <c r="H177" s="1"/>
  <c r="H178" s="1"/>
  <c r="F175"/>
  <c r="F177" s="1"/>
  <c r="I175"/>
  <c r="I177" s="1"/>
  <c r="I178" s="1"/>
  <c r="G175"/>
  <c r="G177" s="1"/>
  <c r="D175"/>
  <c r="D177" s="1"/>
  <c r="D178" s="1"/>
  <c r="B265" i="15"/>
  <c r="B266" s="1"/>
  <c r="D263"/>
  <c r="D265" s="1"/>
  <c r="D266" s="1"/>
  <c r="J262"/>
  <c r="J267" s="1"/>
  <c r="C263"/>
  <c r="H263"/>
  <c r="H265" s="1"/>
  <c r="H266" s="1"/>
  <c r="I263"/>
  <c r="I265" s="1"/>
  <c r="I266" s="1"/>
  <c r="J255"/>
  <c r="F263"/>
  <c r="F265" s="1"/>
  <c r="F266" s="1"/>
  <c r="G265"/>
  <c r="G266" s="1"/>
  <c r="J273" i="16" l="1"/>
  <c r="J252"/>
  <c r="J253" s="1"/>
  <c r="J251" i="15"/>
  <c r="J256" s="1"/>
  <c r="E278"/>
  <c r="C265"/>
  <c r="C266" s="1"/>
  <c r="J263"/>
  <c r="J175" i="16"/>
  <c r="G178"/>
  <c r="F178"/>
  <c r="B177"/>
  <c r="J265" i="15"/>
  <c r="J257"/>
  <c r="F252" i="16" l="1"/>
  <c r="E293" i="15"/>
  <c r="F278"/>
  <c r="F293" s="1"/>
  <c r="B178" i="16"/>
  <c r="J177"/>
  <c r="J266" i="15"/>
  <c r="E294" l="1"/>
  <c r="E296"/>
  <c r="B14" i="4"/>
  <c r="B15" s="1"/>
  <c r="B17" s="1"/>
  <c r="B21" l="1"/>
</calcChain>
</file>

<file path=xl/sharedStrings.xml><?xml version="1.0" encoding="utf-8"?>
<sst xmlns="http://schemas.openxmlformats.org/spreadsheetml/2006/main" count="1104" uniqueCount="250">
  <si>
    <t>PREFEITURA MUNICIPAL DE CAÇAPAVA DO SUL/RS.</t>
  </si>
  <si>
    <t>Prefeito Municipal                                Secret. de Munic. da Fazenda                           Contador: CRC/RS:068452/0-6</t>
  </si>
  <si>
    <t>Giovani Amestoy da Silva                      Hioko Nakashima da Mota                                  Arlei Lopes Souza</t>
  </si>
  <si>
    <t>TOTAL</t>
  </si>
  <si>
    <t>AMF - Tabela 9 (LRF, art. 4°, § 2°, inciso V)</t>
  </si>
  <si>
    <t>EVENTOS</t>
  </si>
  <si>
    <t xml:space="preserve">Aumento Permanente da Receita  </t>
  </si>
  <si>
    <t>(-)  Transferências Constitucionais</t>
  </si>
  <si>
    <t>(-)  Transferências ao FUNDEB</t>
  </si>
  <si>
    <t>Saldo Final do Aumento Permanente de Receita  (I)</t>
  </si>
  <si>
    <t>Redução Permanente de Despesa (II)</t>
  </si>
  <si>
    <t>Margem Bruta  (III) = (I+II)</t>
  </si>
  <si>
    <t>Saldo Utilizado da Margem Bruta (IV)</t>
  </si>
  <si>
    <t xml:space="preserve">   Novas DOCC</t>
  </si>
  <si>
    <t xml:space="preserve">   Novas DOCC geradas por PPP</t>
  </si>
  <si>
    <t>Margem Líquida de Expansão de DOCC (V) = (III-IV)</t>
  </si>
  <si>
    <r>
      <t>NOTA:</t>
    </r>
    <r>
      <rPr>
        <sz val="11"/>
        <color theme="1"/>
        <rFont val="Calibri"/>
        <family val="2"/>
        <scheme val="minor"/>
      </rPr>
      <t xml:space="preserve"> O valor da linha da margem de expansão do aumento permanente da Receita é o resultado</t>
    </r>
  </si>
  <si>
    <t>FONTE:</t>
  </si>
  <si>
    <t>AMF - Tabela 8 (LRF, art. 4°, § 2°, inciso V)</t>
  </si>
  <si>
    <t>TRIBUTO</t>
  </si>
  <si>
    <t>MODALIDADE</t>
  </si>
  <si>
    <t>SETORES/ PROGRAMAS/ BENEFICIÁRIO</t>
  </si>
  <si>
    <t>RENÚNCIA DE RECEITA PREVISTA</t>
  </si>
  <si>
    <t>COMPENSAÇÃO</t>
  </si>
  <si>
    <t xml:space="preserve">          -</t>
  </si>
  <si>
    <t xml:space="preserve">NOTA: Não consta renúncia de receita, pois a mesma foi prevista sobre valores líquidos, já descontas as deduções e </t>
  </si>
  <si>
    <t>as possíveis renúncias da Receita Prevista para 2022.</t>
  </si>
  <si>
    <t>EXERCÍCIO DE 2022</t>
  </si>
  <si>
    <t>FONTE: Planilhas de cálculo do PPA2022/2025 e da LDO2022</t>
  </si>
  <si>
    <t xml:space="preserve">obtido do saldo final da receita corrente primária estimada para 2022 menos a receita corrente </t>
  </si>
  <si>
    <t xml:space="preserve">primária reestimada de 2021, assim como o valor obtido da transferência ao FUNDEB. Já o valor </t>
  </si>
  <si>
    <t>das novas DOCC representa o aumento previstos nas despesas em 2022 em relação as de 2021.</t>
  </si>
  <si>
    <t>Valor Previsto para &lt;Ano de 2022&gt;</t>
  </si>
  <si>
    <t>VI - ESTIMATIVA E COMPENSAÇÃO DA RENÚNCIA DE RECEITA</t>
  </si>
  <si>
    <t>ANEXO I</t>
  </si>
  <si>
    <t xml:space="preserve"> DEMONSTRATIVO DA ESTIMATIVA E COMPENSAÇÃO DA RENÚNCIA DE RECEITA</t>
  </si>
  <si>
    <t>DEMONSTRATIVO DA MARGEM DE EXPANSÃO DAS DESPESAS OBRIGATÓRIAS DE CARÁTER CONTINUADO</t>
  </si>
  <si>
    <t>SMPMA</t>
  </si>
  <si>
    <t>FUNDEB</t>
  </si>
  <si>
    <t xml:space="preserve">IPTU /2022 </t>
  </si>
  <si>
    <t>Cfme Lei Bº 2543 de 17/12/2009</t>
  </si>
  <si>
    <t xml:space="preserve">Aumento permanente na quantidade Cadastros e Atualização da Planta de valores. </t>
  </si>
  <si>
    <t>REFIS/2022</t>
  </si>
  <si>
    <t xml:space="preserve"> Acréscimo nos anos seguintes em 3,25% Média de Inflação estimada para o Período e Despacho da Administração sobre a compensação.</t>
  </si>
  <si>
    <t>MEMÓRIA E METODOLOGIA DE CÁLCULO PARA ELABORAÇÃO DA LOA/2022.</t>
  </si>
  <si>
    <t xml:space="preserve">Folha de Pagamento de Pessoal de Outubro de 2021 </t>
  </si>
  <si>
    <t>Descrição:</t>
  </si>
  <si>
    <t>Contratos</t>
  </si>
  <si>
    <t>PROVENTOS</t>
  </si>
  <si>
    <t>FGTS</t>
  </si>
  <si>
    <t>INSS</t>
  </si>
  <si>
    <t>FAPS</t>
  </si>
  <si>
    <t>FASM</t>
  </si>
  <si>
    <t>REC PASSIV</t>
  </si>
  <si>
    <t>Refeisul</t>
  </si>
  <si>
    <t>TOTAIS:</t>
  </si>
  <si>
    <t>GAPRE</t>
  </si>
  <si>
    <t>Contr GaPre</t>
  </si>
  <si>
    <t>SGM</t>
  </si>
  <si>
    <t>SMPC</t>
  </si>
  <si>
    <t>SMPMA Contr</t>
  </si>
  <si>
    <t>SMA</t>
  </si>
  <si>
    <t>SMF</t>
  </si>
  <si>
    <t>TURÍSMO</t>
  </si>
  <si>
    <t>SECULTUR</t>
  </si>
  <si>
    <t>SMTSUI</t>
  </si>
  <si>
    <t>SMTSUI Contr.</t>
  </si>
  <si>
    <t>EJA - FUNDEB 70%</t>
  </si>
  <si>
    <t>FUNDEB 70%</t>
  </si>
  <si>
    <t>Livre 30%</t>
  </si>
  <si>
    <t>CRECHE - 70%</t>
  </si>
  <si>
    <t>Pre Escola - 70%</t>
  </si>
  <si>
    <t>EJA - FUNDEB 30%</t>
  </si>
  <si>
    <t>CRECHE - 30%</t>
  </si>
  <si>
    <t>Pre Escola - 30%</t>
  </si>
  <si>
    <t>FUNDEB 30%</t>
  </si>
  <si>
    <t>Crec. Contr. - 30%</t>
  </si>
  <si>
    <t>Pre Esc.Contr 70%</t>
  </si>
  <si>
    <t>Especial -MDE 30%</t>
  </si>
  <si>
    <t>Espec. Contr MDE 30%</t>
  </si>
  <si>
    <t>ESPECIAL - FUNDEB 70%</t>
  </si>
  <si>
    <t>SEDUC - MDE 30%</t>
  </si>
  <si>
    <t>SMS - PAB - APS - BUCAL</t>
  </si>
  <si>
    <t>Saude Bucal Estadual</t>
  </si>
  <si>
    <t>SMS - PAB - APS - ACS</t>
  </si>
  <si>
    <t>CAPS - UNIAO</t>
  </si>
  <si>
    <t>SMS - PAB - APS - ESF</t>
  </si>
  <si>
    <t>SMS - ASPS</t>
  </si>
  <si>
    <t>Samu - Estado</t>
  </si>
  <si>
    <t>SAMU ESTAT. UNIAO</t>
  </si>
  <si>
    <t>Policlinica Municipal</t>
  </si>
  <si>
    <t>Policlinica Contratos</t>
  </si>
  <si>
    <t>Vigilancia Sanitaria</t>
  </si>
  <si>
    <t>C. Bem Estar Animal</t>
  </si>
  <si>
    <t>C. Bem E. Animal Contr.</t>
  </si>
  <si>
    <t>Farmacia Municipal</t>
  </si>
  <si>
    <t>Agentes C. Saúde - PIES</t>
  </si>
  <si>
    <t>Saude Mental - ASPS</t>
  </si>
  <si>
    <t>CAPS ESTADO</t>
  </si>
  <si>
    <t>CAPS Contratad - ASPS</t>
  </si>
  <si>
    <t>SMS - PSF - ESTADO</t>
  </si>
  <si>
    <t>SMS - PSF - PIES</t>
  </si>
  <si>
    <t>SAMU Estatut - ASPS</t>
  </si>
  <si>
    <t>APS - ESF - Contratados</t>
  </si>
  <si>
    <t>Enfr. COVID-19 Contrat</t>
  </si>
  <si>
    <t>Combate a Endemias</t>
  </si>
  <si>
    <t>SMAS</t>
  </si>
  <si>
    <t>Abr B Me Quer Contrat</t>
  </si>
  <si>
    <t>SMAS - CEDIDOS</t>
  </si>
  <si>
    <t>CRAS Contratados</t>
  </si>
  <si>
    <t>SEAGROPIC</t>
  </si>
  <si>
    <t>Enc. Geral Pensionistas</t>
  </si>
  <si>
    <t>Encargos G. Inativos</t>
  </si>
  <si>
    <t>Fonte: Folha de Outubro de 2021.</t>
  </si>
  <si>
    <t>Descrição: SMA:  0.003</t>
  </si>
  <si>
    <t>SUBTOTAIS:</t>
  </si>
  <si>
    <t>Pensionistas do Rpps</t>
  </si>
  <si>
    <t>Inativos do Rpps</t>
  </si>
  <si>
    <t>Totais no RPPS/FAPS</t>
  </si>
  <si>
    <t>TOTAL GERAL:</t>
  </si>
  <si>
    <t>PARAMETROS DE PROJEÇÕES DA FOLHA DE PAGAMENTO DE PESSOAL PARA O EXERCÍCIO DE 2022</t>
  </si>
  <si>
    <t>Bases de Cálculo das Contribuições</t>
  </si>
  <si>
    <t>(- ) Grat Concur</t>
  </si>
  <si>
    <t>Parametros Totais:</t>
  </si>
  <si>
    <t>Previsão do Magistério de 31,5% de acréscimo em 2022.</t>
  </si>
  <si>
    <t>FOLHA DE PAGAMENTO DE PESSOAL PROJETADA PARA 2022</t>
  </si>
  <si>
    <t>10 Meses</t>
  </si>
  <si>
    <t>acréscimo de 8,6%</t>
  </si>
  <si>
    <t>acréscimo de 10%</t>
  </si>
  <si>
    <t>N. E.: O valor dos Proventos esta deduzido o valor da Verba: 36 Grat Concur.</t>
  </si>
  <si>
    <t>Folha Total menos a Folha do RPPS/FAPS</t>
  </si>
  <si>
    <t>LIVRE</t>
  </si>
  <si>
    <t>MDE</t>
  </si>
  <si>
    <t>ASPS</t>
  </si>
  <si>
    <t>Demais F.R. da Saúde</t>
  </si>
  <si>
    <t>FAPS - 0050</t>
  </si>
  <si>
    <t>Total por Recurso:</t>
  </si>
  <si>
    <t>Déficit do FUNDEB:</t>
  </si>
  <si>
    <t>MDE:</t>
  </si>
  <si>
    <t>Página: 1/3</t>
  </si>
  <si>
    <t>Página: 2/3</t>
  </si>
  <si>
    <t>PARAMETROS DE PROJEÇÕES DA FOLHA DE PAGAM ENTO DE PESSOAL PARA O EXERCÍCIO DE 2022</t>
  </si>
  <si>
    <t>N.E. 1 - Previsão de Acréscimo Salarial do Magistério Municipal de 31,3% Boletim Técnico n° 149/2021-DPM de 4/Out/21.</t>
  </si>
  <si>
    <t>N.E. 3 - Aumento do Salário Mínimo que possa gerar impacto nas despesas com pessoal. De 1.100,00 para 1.192,00 em 2.022 - 160 Servidores em Out/2021 impactado nos 8,60%</t>
  </si>
  <si>
    <t xml:space="preserve">N.E. 4 - Novos ingressos de servidores por concursos e contratações, espera-se que sejam cobertos essas despesas com o ingressos de novos servidores  com a diminuição da </t>
  </si>
  <si>
    <r>
      <t xml:space="preserve">N.E. 5 - Valores com </t>
    </r>
    <r>
      <rPr>
        <b/>
        <sz val="6"/>
        <color theme="1"/>
        <rFont val="Calibri"/>
        <family val="2"/>
        <scheme val="minor"/>
      </rPr>
      <t>horas extras</t>
    </r>
    <r>
      <rPr>
        <sz val="6"/>
        <color theme="1"/>
        <rFont val="Calibri"/>
        <family val="2"/>
        <scheme val="minor"/>
      </rPr>
      <t xml:space="preserve"> deverão ser realizados se os valores realizados com despesas de pessoal se verificarem menores razoavelmente que os previstos neste estudo.</t>
    </r>
  </si>
  <si>
    <t>Página: 3/3</t>
  </si>
  <si>
    <t>Impacto do acréscimos dos 31,3% do Magistério:</t>
  </si>
  <si>
    <t>SEDUC</t>
  </si>
  <si>
    <t>SMS</t>
  </si>
  <si>
    <t>Encargos Gerais</t>
  </si>
  <si>
    <t>RESERVA</t>
  </si>
  <si>
    <t>Total por Órgão:</t>
  </si>
  <si>
    <t>DESCRIÇÃO:</t>
  </si>
  <si>
    <t>Índice de reposição Salarial: 8,6%</t>
  </si>
  <si>
    <t>Diferença de fevereiro de 2020</t>
  </si>
  <si>
    <t>Reajuste do FUNDEB: 31,05%</t>
  </si>
  <si>
    <t>SMCP</t>
  </si>
  <si>
    <t>CÂMARA</t>
  </si>
  <si>
    <t>Encargos</t>
  </si>
  <si>
    <t>Folha Projetada</t>
  </si>
  <si>
    <t>Demais Desp.:</t>
  </si>
  <si>
    <t>Orçado p/ 2022</t>
  </si>
  <si>
    <t>F.R.:</t>
  </si>
  <si>
    <t>1</t>
  </si>
  <si>
    <t>20</t>
  </si>
  <si>
    <t>31</t>
  </si>
  <si>
    <t>40</t>
  </si>
  <si>
    <t>50</t>
  </si>
  <si>
    <t>1022</t>
  </si>
  <si>
    <t>1023</t>
  </si>
  <si>
    <t>1024</t>
  </si>
  <si>
    <t>1025</t>
  </si>
  <si>
    <t>1026</t>
  </si>
  <si>
    <t>1031</t>
  </si>
  <si>
    <t>1101</t>
  </si>
  <si>
    <t>1103</t>
  </si>
  <si>
    <t>1121</t>
  </si>
  <si>
    <t>1122</t>
  </si>
  <si>
    <t>1124</t>
  </si>
  <si>
    <t>1181</t>
  </si>
  <si>
    <t>1182</t>
  </si>
  <si>
    <t>1184</t>
  </si>
  <si>
    <t>1186</t>
  </si>
  <si>
    <t>1187</t>
  </si>
  <si>
    <t>1188</t>
  </si>
  <si>
    <t>1190</t>
  </si>
  <si>
    <t>1500</t>
  </si>
  <si>
    <t>3812</t>
  </si>
  <si>
    <t>3813</t>
  </si>
  <si>
    <t>3819</t>
  </si>
  <si>
    <t>3821</t>
  </si>
  <si>
    <t>3822</t>
  </si>
  <si>
    <t>3831</t>
  </si>
  <si>
    <t>3832</t>
  </si>
  <si>
    <t>3833</t>
  </si>
  <si>
    <t>3836</t>
  </si>
  <si>
    <t>3838</t>
  </si>
  <si>
    <t>3839</t>
  </si>
  <si>
    <t>3841</t>
  </si>
  <si>
    <t>4001</t>
  </si>
  <si>
    <t>4011</t>
  </si>
  <si>
    <t>4050</t>
  </si>
  <si>
    <t>4051</t>
  </si>
  <si>
    <t>4090</t>
  </si>
  <si>
    <t>4160</t>
  </si>
  <si>
    <t>4170</t>
  </si>
  <si>
    <t>4190</t>
  </si>
  <si>
    <t>4220</t>
  </si>
  <si>
    <t>4270</t>
  </si>
  <si>
    <t>4292</t>
  </si>
  <si>
    <t>4293</t>
  </si>
  <si>
    <t>4294</t>
  </si>
  <si>
    <t>4295</t>
  </si>
  <si>
    <t>4500</t>
  </si>
  <si>
    <t>4501</t>
  </si>
  <si>
    <t>4502</t>
  </si>
  <si>
    <t>4503</t>
  </si>
  <si>
    <t>4504</t>
  </si>
  <si>
    <t>4505</t>
  </si>
  <si>
    <t>4506</t>
  </si>
  <si>
    <t>4507</t>
  </si>
  <si>
    <t>4509</t>
  </si>
  <si>
    <t>4511</t>
  </si>
  <si>
    <t>4512</t>
  </si>
  <si>
    <t>4986</t>
  </si>
  <si>
    <t>Previsto</t>
  </si>
  <si>
    <t>Valor Total dos Orçaemntos do Fundos mais Operação de Crédito:</t>
  </si>
  <si>
    <t>Orçamento Prefeitura:</t>
  </si>
  <si>
    <t>SMS/2022</t>
  </si>
  <si>
    <t>SEDUC/2022</t>
  </si>
  <si>
    <t>SMAS/2022:</t>
  </si>
  <si>
    <t>SEAGROPIC:</t>
  </si>
  <si>
    <t>SMTSUI/2022</t>
  </si>
  <si>
    <t>Total c/ Vinculo:</t>
  </si>
  <si>
    <t>SGM/2022:</t>
  </si>
  <si>
    <t>Reposição 4,56% + Revisção de 8,6%</t>
  </si>
  <si>
    <t>Sem 31,5% do FUNDEB e sem os 4,56% de 2021</t>
  </si>
  <si>
    <t>N.E. 6 - Consta os 4,56% da reposição da infração de 2020.</t>
  </si>
  <si>
    <t>N.E. 2 - Reposição Salarial dos Demais Servidores (Recuperação da inflação dos anos 2020 e 2021) para 2022 impactado em 4,56% reposição e os 8,60% da inflação de 2021;</t>
  </si>
  <si>
    <t>Folha dos Ativos por aposentadoria;</t>
  </si>
  <si>
    <t>Sem os 4,56% de 2021</t>
  </si>
  <si>
    <t>Acréscimo Livre</t>
  </si>
  <si>
    <t>Total das F.R.:</t>
  </si>
  <si>
    <t>Totais Previsto para 2022 nas Fontes de Recursos para 2022:</t>
  </si>
  <si>
    <t>Orç. Atualiz./21</t>
  </si>
  <si>
    <t>Orç. Inicial /21</t>
  </si>
  <si>
    <t>LEI DO ORÇAMENTÁRIO ANUAL - LOA</t>
  </si>
  <si>
    <t>LEI DO ORÇAMENTO ANUAL</t>
  </si>
  <si>
    <t xml:space="preserve"> MARGEM DE EXPANSÃO DAS DESPESAS OBRIGATÓRIAS DE CARÁTER CONTINUADO 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</si>
</sst>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&quot;R$ &quot;#,##0.00_);[Red]\(&quot;R$ &quot;#,##0.00\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NumberFormat="1" applyFont="1" applyFill="1" applyAlignment="1"/>
    <xf numFmtId="0" fontId="5" fillId="0" borderId="0" xfId="0" applyFont="1" applyAlignment="1">
      <alignment horizontal="left"/>
    </xf>
    <xf numFmtId="164" fontId="4" fillId="0" borderId="6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Fill="1" applyAlignment="1"/>
    <xf numFmtId="0" fontId="4" fillId="0" borderId="6" xfId="0" applyFont="1" applyFill="1" applyBorder="1" applyAlignment="1">
      <alignment wrapText="1"/>
    </xf>
    <xf numFmtId="0" fontId="4" fillId="0" borderId="10" xfId="0" applyFont="1" applyFill="1" applyBorder="1" applyAlignment="1">
      <alignment vertical="top" wrapText="1"/>
    </xf>
    <xf numFmtId="165" fontId="3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65" fontId="3" fillId="0" borderId="17" xfId="1" applyNumberFormat="1" applyFont="1" applyFill="1" applyBorder="1" applyAlignment="1">
      <alignment vertical="top" wrapText="1"/>
    </xf>
    <xf numFmtId="165" fontId="3" fillId="0" borderId="17" xfId="0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4" fillId="0" borderId="22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2" fillId="0" borderId="0" xfId="0" applyFont="1"/>
    <xf numFmtId="0" fontId="15" fillId="0" borderId="0" xfId="0" applyFont="1"/>
    <xf numFmtId="0" fontId="15" fillId="0" borderId="18" xfId="0" applyFont="1" applyBorder="1"/>
    <xf numFmtId="0" fontId="10" fillId="0" borderId="18" xfId="0" applyFont="1" applyBorder="1"/>
    <xf numFmtId="0" fontId="16" fillId="0" borderId="0" xfId="0" applyFont="1"/>
    <xf numFmtId="0" fontId="15" fillId="0" borderId="16" xfId="0" applyFont="1" applyBorder="1"/>
    <xf numFmtId="0" fontId="15" fillId="0" borderId="18" xfId="0" applyFont="1" applyBorder="1" applyAlignment="1">
      <alignment horizontal="center"/>
    </xf>
    <xf numFmtId="43" fontId="15" fillId="0" borderId="0" xfId="1" applyFont="1" applyBorder="1"/>
    <xf numFmtId="43" fontId="15" fillId="0" borderId="0" xfId="0" applyNumberFormat="1" applyFont="1"/>
    <xf numFmtId="43" fontId="15" fillId="0" borderId="18" xfId="1" applyFont="1" applyBorder="1"/>
    <xf numFmtId="0" fontId="18" fillId="0" borderId="18" xfId="0" applyFont="1" applyBorder="1"/>
    <xf numFmtId="43" fontId="16" fillId="0" borderId="0" xfId="1" applyFont="1"/>
    <xf numFmtId="43" fontId="15" fillId="0" borderId="0" xfId="1" applyFo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wrapText="1"/>
    </xf>
    <xf numFmtId="43" fontId="3" fillId="0" borderId="10" xfId="1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0" fillId="0" borderId="16" xfId="0" applyFont="1" applyBorder="1" applyAlignment="1">
      <alignment horizontal="center"/>
    </xf>
    <xf numFmtId="4" fontId="15" fillId="0" borderId="0" xfId="0" applyNumberFormat="1" applyFont="1"/>
    <xf numFmtId="43" fontId="15" fillId="0" borderId="18" xfId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18" xfId="0" applyNumberFormat="1" applyFont="1" applyBorder="1"/>
    <xf numFmtId="43" fontId="18" fillId="4" borderId="18" xfId="1" applyFont="1" applyFill="1" applyBorder="1"/>
    <xf numFmtId="4" fontId="18" fillId="0" borderId="18" xfId="0" applyNumberFormat="1" applyFont="1" applyFill="1" applyBorder="1"/>
    <xf numFmtId="4" fontId="18" fillId="4" borderId="18" xfId="0" applyNumberFormat="1" applyFont="1" applyFill="1" applyBorder="1"/>
    <xf numFmtId="4" fontId="18" fillId="0" borderId="0" xfId="0" applyNumberFormat="1" applyFont="1"/>
    <xf numFmtId="0" fontId="16" fillId="0" borderId="18" xfId="0" applyFont="1" applyBorder="1"/>
    <xf numFmtId="43" fontId="16" fillId="0" borderId="18" xfId="1" applyFont="1" applyBorder="1"/>
    <xf numFmtId="0" fontId="16" fillId="0" borderId="16" xfId="0" applyFont="1" applyBorder="1"/>
    <xf numFmtId="43" fontId="15" fillId="0" borderId="16" xfId="1" applyFont="1" applyBorder="1"/>
    <xf numFmtId="43" fontId="15" fillId="0" borderId="16" xfId="0" applyNumberFormat="1" applyFont="1" applyBorder="1"/>
    <xf numFmtId="4" fontId="15" fillId="0" borderId="18" xfId="0" applyNumberFormat="1" applyFont="1" applyBorder="1" applyAlignment="1">
      <alignment horizontal="center"/>
    </xf>
    <xf numFmtId="43" fontId="15" fillId="0" borderId="18" xfId="1" applyFont="1" applyBorder="1" applyAlignment="1"/>
    <xf numFmtId="10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43" fontId="15" fillId="0" borderId="18" xfId="0" applyNumberFormat="1" applyFont="1" applyBorder="1"/>
    <xf numFmtId="0" fontId="15" fillId="0" borderId="16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15" fillId="0" borderId="0" xfId="0" applyFont="1" applyAlignment="1">
      <alignment horizontal="right"/>
    </xf>
    <xf numFmtId="43" fontId="11" fillId="0" borderId="0" xfId="1" applyFont="1"/>
    <xf numFmtId="43" fontId="15" fillId="0" borderId="0" xfId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4" fillId="3" borderId="2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17" xfId="0" applyFont="1" applyBorder="1" applyAlignment="1"/>
    <xf numFmtId="0" fontId="16" fillId="0" borderId="17" xfId="0" applyFont="1" applyBorder="1" applyAlignment="1"/>
    <xf numFmtId="10" fontId="15" fillId="0" borderId="0" xfId="0" applyNumberFormat="1" applyFont="1" applyAlignment="1">
      <alignment horizontal="right"/>
    </xf>
    <xf numFmtId="0" fontId="15" fillId="2" borderId="18" xfId="0" applyFont="1" applyFill="1" applyBorder="1"/>
    <xf numFmtId="0" fontId="13" fillId="0" borderId="23" xfId="0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right" vertical="center"/>
    </xf>
    <xf numFmtId="4" fontId="13" fillId="5" borderId="23" xfId="0" applyNumberFormat="1" applyFont="1" applyFill="1" applyBorder="1" applyAlignment="1">
      <alignment horizontal="right" vertical="center"/>
    </xf>
    <xf numFmtId="4" fontId="13" fillId="3" borderId="23" xfId="0" applyNumberFormat="1" applyFont="1" applyFill="1" applyBorder="1" applyAlignment="1">
      <alignment horizontal="right" vertical="center"/>
    </xf>
    <xf numFmtId="43" fontId="15" fillId="4" borderId="18" xfId="1" applyFont="1" applyFill="1" applyBorder="1"/>
    <xf numFmtId="43" fontId="18" fillId="0" borderId="18" xfId="1" applyFont="1" applyBorder="1"/>
    <xf numFmtId="0" fontId="13" fillId="0" borderId="25" xfId="0" applyFont="1" applyFill="1" applyBorder="1" applyAlignment="1">
      <alignment horizontal="center" vertical="center"/>
    </xf>
    <xf numFmtId="4" fontId="13" fillId="5" borderId="25" xfId="0" applyNumberFormat="1" applyFont="1" applyFill="1" applyBorder="1" applyAlignment="1">
      <alignment horizontal="right" vertical="center"/>
    </xf>
    <xf numFmtId="4" fontId="13" fillId="0" borderId="25" xfId="0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3" fontId="17" fillId="0" borderId="18" xfId="1" applyFont="1" applyBorder="1"/>
    <xf numFmtId="4" fontId="16" fillId="0" borderId="18" xfId="0" applyNumberFormat="1" applyFont="1" applyBorder="1"/>
    <xf numFmtId="4" fontId="13" fillId="3" borderId="24" xfId="0" applyNumberFormat="1" applyFont="1" applyFill="1" applyBorder="1" applyAlignment="1">
      <alignment horizontal="right" vertical="center"/>
    </xf>
    <xf numFmtId="4" fontId="15" fillId="4" borderId="18" xfId="0" applyNumberFormat="1" applyFont="1" applyFill="1" applyBorder="1"/>
    <xf numFmtId="43" fontId="15" fillId="0" borderId="0" xfId="1" applyFont="1" applyAlignment="1">
      <alignment horizontal="left"/>
    </xf>
    <xf numFmtId="43" fontId="15" fillId="0" borderId="0" xfId="0" applyNumberFormat="1" applyFont="1" applyAlignment="1">
      <alignment horizontal="right"/>
    </xf>
    <xf numFmtId="43" fontId="15" fillId="4" borderId="18" xfId="0" applyNumberFormat="1" applyFont="1" applyFill="1" applyBorder="1"/>
    <xf numFmtId="0" fontId="4" fillId="0" borderId="1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17" xfId="0" applyFill="1" applyBorder="1" applyAlignment="1"/>
    <xf numFmtId="0" fontId="4" fillId="0" borderId="16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/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5" fillId="0" borderId="17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Docum2012\PlanOr&#231;amA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Docum2021\Verific_Ou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úde"/>
      <sheetName val="Seduc"/>
      <sheetName val="Social"/>
      <sheetName val="BalOr"/>
      <sheetName val="Plan2"/>
      <sheetName val="Pess"/>
      <sheetName val="ÒRGÃOS"/>
      <sheetName val="Riscos"/>
      <sheetName val="Marg"/>
      <sheetName val="Metas"/>
      <sheetName val="Plan6"/>
      <sheetName val="RPPS"/>
      <sheetName val="Alien"/>
      <sheetName val="Patrim"/>
      <sheetName val="AvalMet"/>
      <sheetName val="Nom"/>
      <sheetName val="AoAno"/>
      <sheetName val="Plan3"/>
      <sheetName val="Plan1"/>
      <sheetName val="Dív"/>
      <sheetName val="Anexo"/>
    </sheetNames>
    <sheetDataSet>
      <sheetData sheetId="0" refreshError="1"/>
      <sheetData sheetId="1">
        <row r="35">
          <cell r="H35">
            <v>9398030</v>
          </cell>
          <cell r="J35">
            <v>9398030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5">
          <cell r="N35">
            <v>64196899.360572927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2">
          <cell r="E12">
            <v>56951277.359999999</v>
          </cell>
        </row>
      </sheetData>
      <sheetData sheetId="16" refreshError="1"/>
      <sheetData sheetId="17">
        <row r="12">
          <cell r="E12">
            <v>71166540.537798122</v>
          </cell>
        </row>
      </sheetData>
      <sheetData sheetId="18">
        <row r="139">
          <cell r="B139">
            <v>64206899.364683546</v>
          </cell>
        </row>
      </sheetData>
      <sheetData sheetId="19">
        <row r="18">
          <cell r="G18">
            <v>-1191266.4700000002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Pref"/>
      <sheetName val="Simul"/>
      <sheetName val="Estudo"/>
      <sheetName val="RPPS"/>
      <sheetName val="Plan1"/>
      <sheetName val="Plan_D25"/>
      <sheetName val="Precatór"/>
    </sheetNames>
    <sheetDataSet>
      <sheetData sheetId="0"/>
      <sheetData sheetId="1">
        <row r="257">
          <cell r="J257">
            <v>81521535.767183006</v>
          </cell>
        </row>
      </sheetData>
      <sheetData sheetId="2">
        <row r="251">
          <cell r="C251">
            <v>26856171.895079996</v>
          </cell>
        </row>
        <row r="253">
          <cell r="J253">
            <v>84818339.22766301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opLeftCell="A11" workbookViewId="0">
      <selection activeCell="C27" sqref="C27"/>
    </sheetView>
  </sheetViews>
  <sheetFormatPr defaultRowHeight="15"/>
  <cols>
    <col min="1" max="1" width="6.5703125" customWidth="1"/>
    <col min="3" max="3" width="12.28515625" customWidth="1"/>
    <col min="4" max="4" width="11.85546875" bestFit="1" customWidth="1"/>
    <col min="5" max="5" width="32.5703125" customWidth="1"/>
    <col min="6" max="8" width="12.42578125" bestFit="1" customWidth="1"/>
    <col min="9" max="9" width="17.85546875" customWidth="1"/>
    <col min="257" max="257" width="6.5703125" customWidth="1"/>
    <col min="260" max="260" width="11.85546875" bestFit="1" customWidth="1"/>
    <col min="261" max="261" width="30.7109375" bestFit="1" customWidth="1"/>
    <col min="265" max="265" width="12.85546875" bestFit="1" customWidth="1"/>
    <col min="513" max="513" width="6.5703125" customWidth="1"/>
    <col min="516" max="516" width="11.85546875" bestFit="1" customWidth="1"/>
    <col min="517" max="517" width="30.7109375" bestFit="1" customWidth="1"/>
    <col min="521" max="521" width="12.85546875" bestFit="1" customWidth="1"/>
    <col min="769" max="769" width="6.5703125" customWidth="1"/>
    <col min="772" max="772" width="11.85546875" bestFit="1" customWidth="1"/>
    <col min="773" max="773" width="30.7109375" bestFit="1" customWidth="1"/>
    <col min="777" max="777" width="12.85546875" bestFit="1" customWidth="1"/>
    <col min="1025" max="1025" width="6.5703125" customWidth="1"/>
    <col min="1028" max="1028" width="11.85546875" bestFit="1" customWidth="1"/>
    <col min="1029" max="1029" width="30.7109375" bestFit="1" customWidth="1"/>
    <col min="1033" max="1033" width="12.85546875" bestFit="1" customWidth="1"/>
    <col min="1281" max="1281" width="6.5703125" customWidth="1"/>
    <col min="1284" max="1284" width="11.85546875" bestFit="1" customWidth="1"/>
    <col min="1285" max="1285" width="30.7109375" bestFit="1" customWidth="1"/>
    <col min="1289" max="1289" width="12.85546875" bestFit="1" customWidth="1"/>
    <col min="1537" max="1537" width="6.5703125" customWidth="1"/>
    <col min="1540" max="1540" width="11.85546875" bestFit="1" customWidth="1"/>
    <col min="1541" max="1541" width="30.7109375" bestFit="1" customWidth="1"/>
    <col min="1545" max="1545" width="12.85546875" bestFit="1" customWidth="1"/>
    <col min="1793" max="1793" width="6.5703125" customWidth="1"/>
    <col min="1796" max="1796" width="11.85546875" bestFit="1" customWidth="1"/>
    <col min="1797" max="1797" width="30.7109375" bestFit="1" customWidth="1"/>
    <col min="1801" max="1801" width="12.85546875" bestFit="1" customWidth="1"/>
    <col min="2049" max="2049" width="6.5703125" customWidth="1"/>
    <col min="2052" max="2052" width="11.85546875" bestFit="1" customWidth="1"/>
    <col min="2053" max="2053" width="30.7109375" bestFit="1" customWidth="1"/>
    <col min="2057" max="2057" width="12.85546875" bestFit="1" customWidth="1"/>
    <col min="2305" max="2305" width="6.5703125" customWidth="1"/>
    <col min="2308" max="2308" width="11.85546875" bestFit="1" customWidth="1"/>
    <col min="2309" max="2309" width="30.7109375" bestFit="1" customWidth="1"/>
    <col min="2313" max="2313" width="12.85546875" bestFit="1" customWidth="1"/>
    <col min="2561" max="2561" width="6.5703125" customWidth="1"/>
    <col min="2564" max="2564" width="11.85546875" bestFit="1" customWidth="1"/>
    <col min="2565" max="2565" width="30.7109375" bestFit="1" customWidth="1"/>
    <col min="2569" max="2569" width="12.85546875" bestFit="1" customWidth="1"/>
    <col min="2817" max="2817" width="6.5703125" customWidth="1"/>
    <col min="2820" max="2820" width="11.85546875" bestFit="1" customWidth="1"/>
    <col min="2821" max="2821" width="30.7109375" bestFit="1" customWidth="1"/>
    <col min="2825" max="2825" width="12.85546875" bestFit="1" customWidth="1"/>
    <col min="3073" max="3073" width="6.5703125" customWidth="1"/>
    <col min="3076" max="3076" width="11.85546875" bestFit="1" customWidth="1"/>
    <col min="3077" max="3077" width="30.7109375" bestFit="1" customWidth="1"/>
    <col min="3081" max="3081" width="12.85546875" bestFit="1" customWidth="1"/>
    <col min="3329" max="3329" width="6.5703125" customWidth="1"/>
    <col min="3332" max="3332" width="11.85546875" bestFit="1" customWidth="1"/>
    <col min="3333" max="3333" width="30.7109375" bestFit="1" customWidth="1"/>
    <col min="3337" max="3337" width="12.85546875" bestFit="1" customWidth="1"/>
    <col min="3585" max="3585" width="6.5703125" customWidth="1"/>
    <col min="3588" max="3588" width="11.85546875" bestFit="1" customWidth="1"/>
    <col min="3589" max="3589" width="30.7109375" bestFit="1" customWidth="1"/>
    <col min="3593" max="3593" width="12.85546875" bestFit="1" customWidth="1"/>
    <col min="3841" max="3841" width="6.5703125" customWidth="1"/>
    <col min="3844" max="3844" width="11.85546875" bestFit="1" customWidth="1"/>
    <col min="3845" max="3845" width="30.7109375" bestFit="1" customWidth="1"/>
    <col min="3849" max="3849" width="12.85546875" bestFit="1" customWidth="1"/>
    <col min="4097" max="4097" width="6.5703125" customWidth="1"/>
    <col min="4100" max="4100" width="11.85546875" bestFit="1" customWidth="1"/>
    <col min="4101" max="4101" width="30.7109375" bestFit="1" customWidth="1"/>
    <col min="4105" max="4105" width="12.85546875" bestFit="1" customWidth="1"/>
    <col min="4353" max="4353" width="6.5703125" customWidth="1"/>
    <col min="4356" max="4356" width="11.85546875" bestFit="1" customWidth="1"/>
    <col min="4357" max="4357" width="30.7109375" bestFit="1" customWidth="1"/>
    <col min="4361" max="4361" width="12.85546875" bestFit="1" customWidth="1"/>
    <col min="4609" max="4609" width="6.5703125" customWidth="1"/>
    <col min="4612" max="4612" width="11.85546875" bestFit="1" customWidth="1"/>
    <col min="4613" max="4613" width="30.7109375" bestFit="1" customWidth="1"/>
    <col min="4617" max="4617" width="12.85546875" bestFit="1" customWidth="1"/>
    <col min="4865" max="4865" width="6.5703125" customWidth="1"/>
    <col min="4868" max="4868" width="11.85546875" bestFit="1" customWidth="1"/>
    <col min="4869" max="4869" width="30.7109375" bestFit="1" customWidth="1"/>
    <col min="4873" max="4873" width="12.85546875" bestFit="1" customWidth="1"/>
    <col min="5121" max="5121" width="6.5703125" customWidth="1"/>
    <col min="5124" max="5124" width="11.85546875" bestFit="1" customWidth="1"/>
    <col min="5125" max="5125" width="30.7109375" bestFit="1" customWidth="1"/>
    <col min="5129" max="5129" width="12.85546875" bestFit="1" customWidth="1"/>
    <col min="5377" max="5377" width="6.5703125" customWidth="1"/>
    <col min="5380" max="5380" width="11.85546875" bestFit="1" customWidth="1"/>
    <col min="5381" max="5381" width="30.7109375" bestFit="1" customWidth="1"/>
    <col min="5385" max="5385" width="12.85546875" bestFit="1" customWidth="1"/>
    <col min="5633" max="5633" width="6.5703125" customWidth="1"/>
    <col min="5636" max="5636" width="11.85546875" bestFit="1" customWidth="1"/>
    <col min="5637" max="5637" width="30.7109375" bestFit="1" customWidth="1"/>
    <col min="5641" max="5641" width="12.85546875" bestFit="1" customWidth="1"/>
    <col min="5889" max="5889" width="6.5703125" customWidth="1"/>
    <col min="5892" max="5892" width="11.85546875" bestFit="1" customWidth="1"/>
    <col min="5893" max="5893" width="30.7109375" bestFit="1" customWidth="1"/>
    <col min="5897" max="5897" width="12.85546875" bestFit="1" customWidth="1"/>
    <col min="6145" max="6145" width="6.5703125" customWidth="1"/>
    <col min="6148" max="6148" width="11.85546875" bestFit="1" customWidth="1"/>
    <col min="6149" max="6149" width="30.7109375" bestFit="1" customWidth="1"/>
    <col min="6153" max="6153" width="12.85546875" bestFit="1" customWidth="1"/>
    <col min="6401" max="6401" width="6.5703125" customWidth="1"/>
    <col min="6404" max="6404" width="11.85546875" bestFit="1" customWidth="1"/>
    <col min="6405" max="6405" width="30.7109375" bestFit="1" customWidth="1"/>
    <col min="6409" max="6409" width="12.85546875" bestFit="1" customWidth="1"/>
    <col min="6657" max="6657" width="6.5703125" customWidth="1"/>
    <col min="6660" max="6660" width="11.85546875" bestFit="1" customWidth="1"/>
    <col min="6661" max="6661" width="30.7109375" bestFit="1" customWidth="1"/>
    <col min="6665" max="6665" width="12.85546875" bestFit="1" customWidth="1"/>
    <col min="6913" max="6913" width="6.5703125" customWidth="1"/>
    <col min="6916" max="6916" width="11.85546875" bestFit="1" customWidth="1"/>
    <col min="6917" max="6917" width="30.7109375" bestFit="1" customWidth="1"/>
    <col min="6921" max="6921" width="12.85546875" bestFit="1" customWidth="1"/>
    <col min="7169" max="7169" width="6.5703125" customWidth="1"/>
    <col min="7172" max="7172" width="11.85546875" bestFit="1" customWidth="1"/>
    <col min="7173" max="7173" width="30.7109375" bestFit="1" customWidth="1"/>
    <col min="7177" max="7177" width="12.85546875" bestFit="1" customWidth="1"/>
    <col min="7425" max="7425" width="6.5703125" customWidth="1"/>
    <col min="7428" max="7428" width="11.85546875" bestFit="1" customWidth="1"/>
    <col min="7429" max="7429" width="30.7109375" bestFit="1" customWidth="1"/>
    <col min="7433" max="7433" width="12.85546875" bestFit="1" customWidth="1"/>
    <col min="7681" max="7681" width="6.5703125" customWidth="1"/>
    <col min="7684" max="7684" width="11.85546875" bestFit="1" customWidth="1"/>
    <col min="7685" max="7685" width="30.7109375" bestFit="1" customWidth="1"/>
    <col min="7689" max="7689" width="12.85546875" bestFit="1" customWidth="1"/>
    <col min="7937" max="7937" width="6.5703125" customWidth="1"/>
    <col min="7940" max="7940" width="11.85546875" bestFit="1" customWidth="1"/>
    <col min="7941" max="7941" width="30.7109375" bestFit="1" customWidth="1"/>
    <col min="7945" max="7945" width="12.85546875" bestFit="1" customWidth="1"/>
    <col min="8193" max="8193" width="6.5703125" customWidth="1"/>
    <col min="8196" max="8196" width="11.85546875" bestFit="1" customWidth="1"/>
    <col min="8197" max="8197" width="30.7109375" bestFit="1" customWidth="1"/>
    <col min="8201" max="8201" width="12.85546875" bestFit="1" customWidth="1"/>
    <col min="8449" max="8449" width="6.5703125" customWidth="1"/>
    <col min="8452" max="8452" width="11.85546875" bestFit="1" customWidth="1"/>
    <col min="8453" max="8453" width="30.7109375" bestFit="1" customWidth="1"/>
    <col min="8457" max="8457" width="12.85546875" bestFit="1" customWidth="1"/>
    <col min="8705" max="8705" width="6.5703125" customWidth="1"/>
    <col min="8708" max="8708" width="11.85546875" bestFit="1" customWidth="1"/>
    <col min="8709" max="8709" width="30.7109375" bestFit="1" customWidth="1"/>
    <col min="8713" max="8713" width="12.85546875" bestFit="1" customWidth="1"/>
    <col min="8961" max="8961" width="6.5703125" customWidth="1"/>
    <col min="8964" max="8964" width="11.85546875" bestFit="1" customWidth="1"/>
    <col min="8965" max="8965" width="30.7109375" bestFit="1" customWidth="1"/>
    <col min="8969" max="8969" width="12.85546875" bestFit="1" customWidth="1"/>
    <col min="9217" max="9217" width="6.5703125" customWidth="1"/>
    <col min="9220" max="9220" width="11.85546875" bestFit="1" customWidth="1"/>
    <col min="9221" max="9221" width="30.7109375" bestFit="1" customWidth="1"/>
    <col min="9225" max="9225" width="12.85546875" bestFit="1" customWidth="1"/>
    <col min="9473" max="9473" width="6.5703125" customWidth="1"/>
    <col min="9476" max="9476" width="11.85546875" bestFit="1" customWidth="1"/>
    <col min="9477" max="9477" width="30.7109375" bestFit="1" customWidth="1"/>
    <col min="9481" max="9481" width="12.85546875" bestFit="1" customWidth="1"/>
    <col min="9729" max="9729" width="6.5703125" customWidth="1"/>
    <col min="9732" max="9732" width="11.85546875" bestFit="1" customWidth="1"/>
    <col min="9733" max="9733" width="30.7109375" bestFit="1" customWidth="1"/>
    <col min="9737" max="9737" width="12.85546875" bestFit="1" customWidth="1"/>
    <col min="9985" max="9985" width="6.5703125" customWidth="1"/>
    <col min="9988" max="9988" width="11.85546875" bestFit="1" customWidth="1"/>
    <col min="9989" max="9989" width="30.7109375" bestFit="1" customWidth="1"/>
    <col min="9993" max="9993" width="12.85546875" bestFit="1" customWidth="1"/>
    <col min="10241" max="10241" width="6.5703125" customWidth="1"/>
    <col min="10244" max="10244" width="11.85546875" bestFit="1" customWidth="1"/>
    <col min="10245" max="10245" width="30.7109375" bestFit="1" customWidth="1"/>
    <col min="10249" max="10249" width="12.85546875" bestFit="1" customWidth="1"/>
    <col min="10497" max="10497" width="6.5703125" customWidth="1"/>
    <col min="10500" max="10500" width="11.85546875" bestFit="1" customWidth="1"/>
    <col min="10501" max="10501" width="30.7109375" bestFit="1" customWidth="1"/>
    <col min="10505" max="10505" width="12.85546875" bestFit="1" customWidth="1"/>
    <col min="10753" max="10753" width="6.5703125" customWidth="1"/>
    <col min="10756" max="10756" width="11.85546875" bestFit="1" customWidth="1"/>
    <col min="10757" max="10757" width="30.7109375" bestFit="1" customWidth="1"/>
    <col min="10761" max="10761" width="12.85546875" bestFit="1" customWidth="1"/>
    <col min="11009" max="11009" width="6.5703125" customWidth="1"/>
    <col min="11012" max="11012" width="11.85546875" bestFit="1" customWidth="1"/>
    <col min="11013" max="11013" width="30.7109375" bestFit="1" customWidth="1"/>
    <col min="11017" max="11017" width="12.85546875" bestFit="1" customWidth="1"/>
    <col min="11265" max="11265" width="6.5703125" customWidth="1"/>
    <col min="11268" max="11268" width="11.85546875" bestFit="1" customWidth="1"/>
    <col min="11269" max="11269" width="30.7109375" bestFit="1" customWidth="1"/>
    <col min="11273" max="11273" width="12.85546875" bestFit="1" customWidth="1"/>
    <col min="11521" max="11521" width="6.5703125" customWidth="1"/>
    <col min="11524" max="11524" width="11.85546875" bestFit="1" customWidth="1"/>
    <col min="11525" max="11525" width="30.7109375" bestFit="1" customWidth="1"/>
    <col min="11529" max="11529" width="12.85546875" bestFit="1" customWidth="1"/>
    <col min="11777" max="11777" width="6.5703125" customWidth="1"/>
    <col min="11780" max="11780" width="11.85546875" bestFit="1" customWidth="1"/>
    <col min="11781" max="11781" width="30.7109375" bestFit="1" customWidth="1"/>
    <col min="11785" max="11785" width="12.85546875" bestFit="1" customWidth="1"/>
    <col min="12033" max="12033" width="6.5703125" customWidth="1"/>
    <col min="12036" max="12036" width="11.85546875" bestFit="1" customWidth="1"/>
    <col min="12037" max="12037" width="30.7109375" bestFit="1" customWidth="1"/>
    <col min="12041" max="12041" width="12.85546875" bestFit="1" customWidth="1"/>
    <col min="12289" max="12289" width="6.5703125" customWidth="1"/>
    <col min="12292" max="12292" width="11.85546875" bestFit="1" customWidth="1"/>
    <col min="12293" max="12293" width="30.7109375" bestFit="1" customWidth="1"/>
    <col min="12297" max="12297" width="12.85546875" bestFit="1" customWidth="1"/>
    <col min="12545" max="12545" width="6.5703125" customWidth="1"/>
    <col min="12548" max="12548" width="11.85546875" bestFit="1" customWidth="1"/>
    <col min="12549" max="12549" width="30.7109375" bestFit="1" customWidth="1"/>
    <col min="12553" max="12553" width="12.85546875" bestFit="1" customWidth="1"/>
    <col min="12801" max="12801" width="6.5703125" customWidth="1"/>
    <col min="12804" max="12804" width="11.85546875" bestFit="1" customWidth="1"/>
    <col min="12805" max="12805" width="30.7109375" bestFit="1" customWidth="1"/>
    <col min="12809" max="12809" width="12.85546875" bestFit="1" customWidth="1"/>
    <col min="13057" max="13057" width="6.5703125" customWidth="1"/>
    <col min="13060" max="13060" width="11.85546875" bestFit="1" customWidth="1"/>
    <col min="13061" max="13061" width="30.7109375" bestFit="1" customWidth="1"/>
    <col min="13065" max="13065" width="12.85546875" bestFit="1" customWidth="1"/>
    <col min="13313" max="13313" width="6.5703125" customWidth="1"/>
    <col min="13316" max="13316" width="11.85546875" bestFit="1" customWidth="1"/>
    <col min="13317" max="13317" width="30.7109375" bestFit="1" customWidth="1"/>
    <col min="13321" max="13321" width="12.85546875" bestFit="1" customWidth="1"/>
    <col min="13569" max="13569" width="6.5703125" customWidth="1"/>
    <col min="13572" max="13572" width="11.85546875" bestFit="1" customWidth="1"/>
    <col min="13573" max="13573" width="30.7109375" bestFit="1" customWidth="1"/>
    <col min="13577" max="13577" width="12.85546875" bestFit="1" customWidth="1"/>
    <col min="13825" max="13825" width="6.5703125" customWidth="1"/>
    <col min="13828" max="13828" width="11.85546875" bestFit="1" customWidth="1"/>
    <col min="13829" max="13829" width="30.7109375" bestFit="1" customWidth="1"/>
    <col min="13833" max="13833" width="12.85546875" bestFit="1" customWidth="1"/>
    <col min="14081" max="14081" width="6.5703125" customWidth="1"/>
    <col min="14084" max="14084" width="11.85546875" bestFit="1" customWidth="1"/>
    <col min="14085" max="14085" width="30.7109375" bestFit="1" customWidth="1"/>
    <col min="14089" max="14089" width="12.85546875" bestFit="1" customWidth="1"/>
    <col min="14337" max="14337" width="6.5703125" customWidth="1"/>
    <col min="14340" max="14340" width="11.85546875" bestFit="1" customWidth="1"/>
    <col min="14341" max="14341" width="30.7109375" bestFit="1" customWidth="1"/>
    <col min="14345" max="14345" width="12.85546875" bestFit="1" customWidth="1"/>
    <col min="14593" max="14593" width="6.5703125" customWidth="1"/>
    <col min="14596" max="14596" width="11.85546875" bestFit="1" customWidth="1"/>
    <col min="14597" max="14597" width="30.7109375" bestFit="1" customWidth="1"/>
    <col min="14601" max="14601" width="12.85546875" bestFit="1" customWidth="1"/>
    <col min="14849" max="14849" width="6.5703125" customWidth="1"/>
    <col min="14852" max="14852" width="11.85546875" bestFit="1" customWidth="1"/>
    <col min="14853" max="14853" width="30.7109375" bestFit="1" customWidth="1"/>
    <col min="14857" max="14857" width="12.85546875" bestFit="1" customWidth="1"/>
    <col min="15105" max="15105" width="6.5703125" customWidth="1"/>
    <col min="15108" max="15108" width="11.85546875" bestFit="1" customWidth="1"/>
    <col min="15109" max="15109" width="30.7109375" bestFit="1" customWidth="1"/>
    <col min="15113" max="15113" width="12.85546875" bestFit="1" customWidth="1"/>
    <col min="15361" max="15361" width="6.5703125" customWidth="1"/>
    <col min="15364" max="15364" width="11.85546875" bestFit="1" customWidth="1"/>
    <col min="15365" max="15365" width="30.7109375" bestFit="1" customWidth="1"/>
    <col min="15369" max="15369" width="12.85546875" bestFit="1" customWidth="1"/>
    <col min="15617" max="15617" width="6.5703125" customWidth="1"/>
    <col min="15620" max="15620" width="11.85546875" bestFit="1" customWidth="1"/>
    <col min="15621" max="15621" width="30.7109375" bestFit="1" customWidth="1"/>
    <col min="15625" max="15625" width="12.85546875" bestFit="1" customWidth="1"/>
    <col min="15873" max="15873" width="6.5703125" customWidth="1"/>
    <col min="15876" max="15876" width="11.85546875" bestFit="1" customWidth="1"/>
    <col min="15877" max="15877" width="30.7109375" bestFit="1" customWidth="1"/>
    <col min="15881" max="15881" width="12.85546875" bestFit="1" customWidth="1"/>
    <col min="16129" max="16129" width="6.5703125" customWidth="1"/>
    <col min="16132" max="16132" width="11.85546875" bestFit="1" customWidth="1"/>
    <col min="16133" max="16133" width="30.7109375" bestFit="1" customWidth="1"/>
    <col min="16137" max="16137" width="12.85546875" bestFit="1" customWidth="1"/>
  </cols>
  <sheetData>
    <row r="1" spans="3:9">
      <c r="C1" s="1" t="s">
        <v>35</v>
      </c>
      <c r="D1" s="1"/>
      <c r="E1" s="1"/>
      <c r="F1" s="1"/>
      <c r="G1" s="1"/>
      <c r="H1" s="1"/>
      <c r="I1" s="1"/>
    </row>
    <row r="2" spans="3:9">
      <c r="C2" s="18"/>
      <c r="D2" s="19"/>
      <c r="E2" s="29" t="s">
        <v>34</v>
      </c>
      <c r="F2" s="19"/>
      <c r="G2" s="19"/>
      <c r="H2" s="19"/>
      <c r="I2" s="20"/>
    </row>
    <row r="3" spans="3:9">
      <c r="C3" s="103" t="s">
        <v>0</v>
      </c>
      <c r="D3" s="104"/>
      <c r="E3" s="104"/>
      <c r="F3" s="104"/>
      <c r="G3" s="104"/>
      <c r="H3" s="104"/>
      <c r="I3" s="105"/>
    </row>
    <row r="4" spans="3:9">
      <c r="C4" s="103" t="s">
        <v>247</v>
      </c>
      <c r="D4" s="104"/>
      <c r="E4" s="104"/>
      <c r="F4" s="104"/>
      <c r="G4" s="104"/>
      <c r="H4" s="104"/>
      <c r="I4" s="105"/>
    </row>
    <row r="5" spans="3:9">
      <c r="C5" s="103"/>
      <c r="D5" s="104"/>
      <c r="E5" s="104"/>
      <c r="F5" s="104"/>
      <c r="G5" s="104"/>
      <c r="H5" s="104"/>
      <c r="I5" s="105"/>
    </row>
    <row r="6" spans="3:9">
      <c r="C6" s="112" t="s">
        <v>33</v>
      </c>
      <c r="D6" s="113"/>
      <c r="E6" s="113"/>
      <c r="F6" s="113"/>
      <c r="G6" s="113"/>
      <c r="H6" s="113"/>
      <c r="I6" s="114"/>
    </row>
    <row r="7" spans="3:9">
      <c r="C7" s="103" t="s">
        <v>27</v>
      </c>
      <c r="D7" s="104"/>
      <c r="E7" s="104"/>
      <c r="F7" s="104"/>
      <c r="G7" s="104"/>
      <c r="H7" s="104"/>
      <c r="I7" s="105"/>
    </row>
    <row r="8" spans="3:9">
      <c r="C8" s="18"/>
      <c r="D8" s="19"/>
      <c r="E8" s="19"/>
      <c r="F8" s="19"/>
      <c r="G8" s="19"/>
      <c r="H8" s="19"/>
      <c r="I8" s="20"/>
    </row>
    <row r="9" spans="3:9">
      <c r="C9" s="21" t="s">
        <v>18</v>
      </c>
      <c r="D9" s="22"/>
      <c r="E9" s="22"/>
      <c r="F9" s="22"/>
      <c r="G9" s="22"/>
      <c r="H9" s="23"/>
      <c r="I9" s="24">
        <v>1</v>
      </c>
    </row>
    <row r="10" spans="3:9">
      <c r="C10" s="106" t="s">
        <v>19</v>
      </c>
      <c r="D10" s="116" t="s">
        <v>20</v>
      </c>
      <c r="E10" s="109" t="s">
        <v>21</v>
      </c>
      <c r="F10" s="116" t="s">
        <v>22</v>
      </c>
      <c r="G10" s="125"/>
      <c r="H10" s="126"/>
      <c r="I10" s="116" t="s">
        <v>23</v>
      </c>
    </row>
    <row r="11" spans="3:9">
      <c r="C11" s="107"/>
      <c r="D11" s="121"/>
      <c r="E11" s="123"/>
      <c r="F11" s="122"/>
      <c r="G11" s="127"/>
      <c r="H11" s="128"/>
      <c r="I11" s="129"/>
    </row>
    <row r="12" spans="3:9">
      <c r="C12" s="108"/>
      <c r="D12" s="122"/>
      <c r="E12" s="124"/>
      <c r="F12" s="25">
        <v>2022</v>
      </c>
      <c r="G12" s="25">
        <v>2023</v>
      </c>
      <c r="H12" s="25">
        <v>2024</v>
      </c>
      <c r="I12" s="117"/>
    </row>
    <row r="13" spans="3:9" ht="72.75" customHeight="1">
      <c r="C13" s="4" t="s">
        <v>39</v>
      </c>
      <c r="D13" s="4"/>
      <c r="E13" s="4" t="s">
        <v>40</v>
      </c>
      <c r="F13" s="47">
        <v>181940</v>
      </c>
      <c r="G13" s="47">
        <f>F13*(1+3.25%)</f>
        <v>187853.05</v>
      </c>
      <c r="H13" s="47">
        <f>G13*(1+3.25%)</f>
        <v>193958.274125</v>
      </c>
      <c r="I13" s="48" t="s">
        <v>41</v>
      </c>
    </row>
    <row r="14" spans="3:9" ht="15.75">
      <c r="C14" s="4" t="s">
        <v>42</v>
      </c>
      <c r="D14" s="4"/>
      <c r="E14" s="4"/>
      <c r="F14" s="4"/>
      <c r="G14" s="4"/>
      <c r="H14" s="4"/>
      <c r="I14" s="46"/>
    </row>
    <row r="15" spans="3:9" ht="15.75">
      <c r="C15" s="26"/>
      <c r="D15" s="26"/>
      <c r="E15" s="26"/>
      <c r="F15" s="26"/>
      <c r="G15" s="26"/>
      <c r="H15" s="26"/>
      <c r="I15" s="27"/>
    </row>
    <row r="16" spans="3:9" ht="15.75">
      <c r="C16" s="119" t="s">
        <v>3</v>
      </c>
      <c r="D16" s="119"/>
      <c r="E16" s="120"/>
      <c r="F16" s="26"/>
      <c r="G16" s="26"/>
      <c r="H16" s="26"/>
      <c r="I16" s="27" t="s">
        <v>24</v>
      </c>
    </row>
    <row r="17" spans="1:11">
      <c r="C17" s="28" t="s">
        <v>17</v>
      </c>
      <c r="D17" s="45" t="s">
        <v>43</v>
      </c>
      <c r="E17" s="28"/>
      <c r="F17" s="28"/>
      <c r="G17" s="28"/>
      <c r="H17" s="28"/>
      <c r="I17" s="28"/>
    </row>
    <row r="18" spans="1:11">
      <c r="C18" t="s">
        <v>25</v>
      </c>
    </row>
    <row r="19" spans="1:11">
      <c r="C19" t="s">
        <v>26</v>
      </c>
    </row>
    <row r="25" spans="1:11" s="5" customFormat="1" ht="11.25">
      <c r="A25" s="2"/>
      <c r="B25" s="2" t="s">
        <v>2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s="5" customFormat="1" ht="11.25">
      <c r="A26" s="2"/>
      <c r="B26" s="2" t="s">
        <v>1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s="5" customFormat="1" ht="11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9" spans="1:11">
      <c r="C29" s="30"/>
    </row>
  </sheetData>
  <mergeCells count="11">
    <mergeCell ref="C16:E16"/>
    <mergeCell ref="C3:I3"/>
    <mergeCell ref="C4:I4"/>
    <mergeCell ref="C5:I5"/>
    <mergeCell ref="C6:I6"/>
    <mergeCell ref="C7:I7"/>
    <mergeCell ref="C10:C12"/>
    <mergeCell ref="D10:D12"/>
    <mergeCell ref="E10:E12"/>
    <mergeCell ref="F10:H11"/>
    <mergeCell ref="I10:I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27" sqref="B27"/>
    </sheetView>
  </sheetViews>
  <sheetFormatPr defaultRowHeight="15"/>
  <cols>
    <col min="1" max="1" width="37.42578125" customWidth="1"/>
    <col min="2" max="2" width="28.7109375" bestFit="1" customWidth="1"/>
    <col min="257" max="257" width="37.42578125" customWidth="1"/>
    <col min="258" max="258" width="28.7109375" bestFit="1" customWidth="1"/>
    <col min="513" max="513" width="37.42578125" customWidth="1"/>
    <col min="514" max="514" width="28.7109375" bestFit="1" customWidth="1"/>
    <col min="769" max="769" width="37.42578125" customWidth="1"/>
    <col min="770" max="770" width="28.7109375" bestFit="1" customWidth="1"/>
    <col min="1025" max="1025" width="37.42578125" customWidth="1"/>
    <col min="1026" max="1026" width="28.7109375" bestFit="1" customWidth="1"/>
    <col min="1281" max="1281" width="37.42578125" customWidth="1"/>
    <col min="1282" max="1282" width="28.7109375" bestFit="1" customWidth="1"/>
    <col min="1537" max="1537" width="37.42578125" customWidth="1"/>
    <col min="1538" max="1538" width="28.7109375" bestFit="1" customWidth="1"/>
    <col min="1793" max="1793" width="37.42578125" customWidth="1"/>
    <col min="1794" max="1794" width="28.7109375" bestFit="1" customWidth="1"/>
    <col min="2049" max="2049" width="37.42578125" customWidth="1"/>
    <col min="2050" max="2050" width="28.7109375" bestFit="1" customWidth="1"/>
    <col min="2305" max="2305" width="37.42578125" customWidth="1"/>
    <col min="2306" max="2306" width="28.7109375" bestFit="1" customWidth="1"/>
    <col min="2561" max="2561" width="37.42578125" customWidth="1"/>
    <col min="2562" max="2562" width="28.7109375" bestFit="1" customWidth="1"/>
    <col min="2817" max="2817" width="37.42578125" customWidth="1"/>
    <col min="2818" max="2818" width="28.7109375" bestFit="1" customWidth="1"/>
    <col min="3073" max="3073" width="37.42578125" customWidth="1"/>
    <col min="3074" max="3074" width="28.7109375" bestFit="1" customWidth="1"/>
    <col min="3329" max="3329" width="37.42578125" customWidth="1"/>
    <col min="3330" max="3330" width="28.7109375" bestFit="1" customWidth="1"/>
    <col min="3585" max="3585" width="37.42578125" customWidth="1"/>
    <col min="3586" max="3586" width="28.7109375" bestFit="1" customWidth="1"/>
    <col min="3841" max="3841" width="37.42578125" customWidth="1"/>
    <col min="3842" max="3842" width="28.7109375" bestFit="1" customWidth="1"/>
    <col min="4097" max="4097" width="37.42578125" customWidth="1"/>
    <col min="4098" max="4098" width="28.7109375" bestFit="1" customWidth="1"/>
    <col min="4353" max="4353" width="37.42578125" customWidth="1"/>
    <col min="4354" max="4354" width="28.7109375" bestFit="1" customWidth="1"/>
    <col min="4609" max="4609" width="37.42578125" customWidth="1"/>
    <col min="4610" max="4610" width="28.7109375" bestFit="1" customWidth="1"/>
    <col min="4865" max="4865" width="37.42578125" customWidth="1"/>
    <col min="4866" max="4866" width="28.7109375" bestFit="1" customWidth="1"/>
    <col min="5121" max="5121" width="37.42578125" customWidth="1"/>
    <col min="5122" max="5122" width="28.7109375" bestFit="1" customWidth="1"/>
    <col min="5377" max="5377" width="37.42578125" customWidth="1"/>
    <col min="5378" max="5378" width="28.7109375" bestFit="1" customWidth="1"/>
    <col min="5633" max="5633" width="37.42578125" customWidth="1"/>
    <col min="5634" max="5634" width="28.7109375" bestFit="1" customWidth="1"/>
    <col min="5889" max="5889" width="37.42578125" customWidth="1"/>
    <col min="5890" max="5890" width="28.7109375" bestFit="1" customWidth="1"/>
    <col min="6145" max="6145" width="37.42578125" customWidth="1"/>
    <col min="6146" max="6146" width="28.7109375" bestFit="1" customWidth="1"/>
    <col min="6401" max="6401" width="37.42578125" customWidth="1"/>
    <col min="6402" max="6402" width="28.7109375" bestFit="1" customWidth="1"/>
    <col min="6657" max="6657" width="37.42578125" customWidth="1"/>
    <col min="6658" max="6658" width="28.7109375" bestFit="1" customWidth="1"/>
    <col min="6913" max="6913" width="37.42578125" customWidth="1"/>
    <col min="6914" max="6914" width="28.7109375" bestFit="1" customWidth="1"/>
    <col min="7169" max="7169" width="37.42578125" customWidth="1"/>
    <col min="7170" max="7170" width="28.7109375" bestFit="1" customWidth="1"/>
    <col min="7425" max="7425" width="37.42578125" customWidth="1"/>
    <col min="7426" max="7426" width="28.7109375" bestFit="1" customWidth="1"/>
    <col min="7681" max="7681" width="37.42578125" customWidth="1"/>
    <col min="7682" max="7682" width="28.7109375" bestFit="1" customWidth="1"/>
    <col min="7937" max="7937" width="37.42578125" customWidth="1"/>
    <col min="7938" max="7938" width="28.7109375" bestFit="1" customWidth="1"/>
    <col min="8193" max="8193" width="37.42578125" customWidth="1"/>
    <col min="8194" max="8194" width="28.7109375" bestFit="1" customWidth="1"/>
    <col min="8449" max="8449" width="37.42578125" customWidth="1"/>
    <col min="8450" max="8450" width="28.7109375" bestFit="1" customWidth="1"/>
    <col min="8705" max="8705" width="37.42578125" customWidth="1"/>
    <col min="8706" max="8706" width="28.7109375" bestFit="1" customWidth="1"/>
    <col min="8961" max="8961" width="37.42578125" customWidth="1"/>
    <col min="8962" max="8962" width="28.7109375" bestFit="1" customWidth="1"/>
    <col min="9217" max="9217" width="37.42578125" customWidth="1"/>
    <col min="9218" max="9218" width="28.7109375" bestFit="1" customWidth="1"/>
    <col min="9473" max="9473" width="37.42578125" customWidth="1"/>
    <col min="9474" max="9474" width="28.7109375" bestFit="1" customWidth="1"/>
    <col min="9729" max="9729" width="37.42578125" customWidth="1"/>
    <col min="9730" max="9730" width="28.7109375" bestFit="1" customWidth="1"/>
    <col min="9985" max="9985" width="37.42578125" customWidth="1"/>
    <col min="9986" max="9986" width="28.7109375" bestFit="1" customWidth="1"/>
    <col min="10241" max="10241" width="37.42578125" customWidth="1"/>
    <col min="10242" max="10242" width="28.7109375" bestFit="1" customWidth="1"/>
    <col min="10497" max="10497" width="37.42578125" customWidth="1"/>
    <col min="10498" max="10498" width="28.7109375" bestFit="1" customWidth="1"/>
    <col min="10753" max="10753" width="37.42578125" customWidth="1"/>
    <col min="10754" max="10754" width="28.7109375" bestFit="1" customWidth="1"/>
    <col min="11009" max="11009" width="37.42578125" customWidth="1"/>
    <col min="11010" max="11010" width="28.7109375" bestFit="1" customWidth="1"/>
    <col min="11265" max="11265" width="37.42578125" customWidth="1"/>
    <col min="11266" max="11266" width="28.7109375" bestFit="1" customWidth="1"/>
    <col min="11521" max="11521" width="37.42578125" customWidth="1"/>
    <col min="11522" max="11522" width="28.7109375" bestFit="1" customWidth="1"/>
    <col min="11777" max="11777" width="37.42578125" customWidth="1"/>
    <col min="11778" max="11778" width="28.7109375" bestFit="1" customWidth="1"/>
    <col min="12033" max="12033" width="37.42578125" customWidth="1"/>
    <col min="12034" max="12034" width="28.7109375" bestFit="1" customWidth="1"/>
    <col min="12289" max="12289" width="37.42578125" customWidth="1"/>
    <col min="12290" max="12290" width="28.7109375" bestFit="1" customWidth="1"/>
    <col min="12545" max="12545" width="37.42578125" customWidth="1"/>
    <col min="12546" max="12546" width="28.7109375" bestFit="1" customWidth="1"/>
    <col min="12801" max="12801" width="37.42578125" customWidth="1"/>
    <col min="12802" max="12802" width="28.7109375" bestFit="1" customWidth="1"/>
    <col min="13057" max="13057" width="37.42578125" customWidth="1"/>
    <col min="13058" max="13058" width="28.7109375" bestFit="1" customWidth="1"/>
    <col min="13313" max="13313" width="37.42578125" customWidth="1"/>
    <col min="13314" max="13314" width="28.7109375" bestFit="1" customWidth="1"/>
    <col min="13569" max="13569" width="37.42578125" customWidth="1"/>
    <col min="13570" max="13570" width="28.7109375" bestFit="1" customWidth="1"/>
    <col min="13825" max="13825" width="37.42578125" customWidth="1"/>
    <col min="13826" max="13826" width="28.7109375" bestFit="1" customWidth="1"/>
    <col min="14081" max="14081" width="37.42578125" customWidth="1"/>
    <col min="14082" max="14082" width="28.7109375" bestFit="1" customWidth="1"/>
    <col min="14337" max="14337" width="37.42578125" customWidth="1"/>
    <col min="14338" max="14338" width="28.7109375" bestFit="1" customWidth="1"/>
    <col min="14593" max="14593" width="37.42578125" customWidth="1"/>
    <col min="14594" max="14594" width="28.7109375" bestFit="1" customWidth="1"/>
    <col min="14849" max="14849" width="37.42578125" customWidth="1"/>
    <col min="14850" max="14850" width="28.7109375" bestFit="1" customWidth="1"/>
    <col min="15105" max="15105" width="37.42578125" customWidth="1"/>
    <col min="15106" max="15106" width="28.7109375" bestFit="1" customWidth="1"/>
    <col min="15361" max="15361" width="37.42578125" customWidth="1"/>
    <col min="15362" max="15362" width="28.7109375" bestFit="1" customWidth="1"/>
    <col min="15617" max="15617" width="37.42578125" customWidth="1"/>
    <col min="15618" max="15618" width="28.7109375" bestFit="1" customWidth="1"/>
    <col min="15873" max="15873" width="37.42578125" customWidth="1"/>
    <col min="15874" max="15874" width="28.7109375" bestFit="1" customWidth="1"/>
    <col min="16129" max="16129" width="37.42578125" customWidth="1"/>
    <col min="16130" max="16130" width="28.7109375" bestFit="1" customWidth="1"/>
  </cols>
  <sheetData>
    <row r="1" spans="1:2">
      <c r="A1" s="6" t="s">
        <v>36</v>
      </c>
      <c r="B1" s="1"/>
    </row>
    <row r="2" spans="1:2" ht="15.75">
      <c r="A2" s="110" t="s">
        <v>34</v>
      </c>
      <c r="B2" s="111"/>
    </row>
    <row r="3" spans="1:2">
      <c r="A3" s="103" t="s">
        <v>0</v>
      </c>
      <c r="B3" s="105"/>
    </row>
    <row r="4" spans="1:2">
      <c r="A4" s="103" t="s">
        <v>248</v>
      </c>
      <c r="B4" s="105"/>
    </row>
    <row r="5" spans="1:2">
      <c r="A5" s="112"/>
      <c r="B5" s="105"/>
    </row>
    <row r="6" spans="1:2">
      <c r="A6" s="43" t="s">
        <v>249</v>
      </c>
      <c r="B6" s="44"/>
    </row>
    <row r="7" spans="1:2">
      <c r="A7" s="103" t="s">
        <v>27</v>
      </c>
      <c r="B7" s="105"/>
    </row>
    <row r="8" spans="1:2">
      <c r="A8" s="103"/>
      <c r="B8" s="105"/>
    </row>
    <row r="9" spans="1:2">
      <c r="A9" s="7" t="s">
        <v>4</v>
      </c>
      <c r="B9" s="3">
        <v>1</v>
      </c>
    </row>
    <row r="10" spans="1:2">
      <c r="A10" s="115" t="s">
        <v>5</v>
      </c>
      <c r="B10" s="131" t="s">
        <v>32</v>
      </c>
    </row>
    <row r="11" spans="1:2">
      <c r="A11" s="130"/>
      <c r="B11" s="118"/>
    </row>
    <row r="12" spans="1:2" ht="15.75">
      <c r="A12" s="8" t="s">
        <v>6</v>
      </c>
      <c r="B12" s="9">
        <v>1667034.43</v>
      </c>
    </row>
    <row r="13" spans="1:2" ht="15.75">
      <c r="A13" s="8" t="s">
        <v>7</v>
      </c>
      <c r="B13" s="10"/>
    </row>
    <row r="14" spans="1:2" ht="15.75">
      <c r="A14" s="11" t="s">
        <v>8</v>
      </c>
      <c r="B14" s="12">
        <f>[1]Seduc!J35-[1]Seduc!H35</f>
        <v>0</v>
      </c>
    </row>
    <row r="15" spans="1:2" ht="15.75">
      <c r="A15" s="11" t="s">
        <v>9</v>
      </c>
      <c r="B15" s="13">
        <f>B12-SUM(B13:B14)</f>
        <v>1667034.43</v>
      </c>
    </row>
    <row r="16" spans="1:2" ht="15.75">
      <c r="A16" s="11" t="s">
        <v>10</v>
      </c>
      <c r="B16" s="12"/>
    </row>
    <row r="17" spans="1:11" ht="15.75">
      <c r="A17" s="11" t="s">
        <v>11</v>
      </c>
      <c r="B17" s="13">
        <f>B15-B16</f>
        <v>1667034.43</v>
      </c>
    </row>
    <row r="18" spans="1:11" ht="15.75">
      <c r="A18" s="8" t="s">
        <v>12</v>
      </c>
      <c r="B18" s="9">
        <v>12813636.560000001</v>
      </c>
    </row>
    <row r="19" spans="1:11" ht="15.75">
      <c r="A19" s="8" t="s">
        <v>13</v>
      </c>
      <c r="B19" s="14">
        <v>12813636.560000001</v>
      </c>
    </row>
    <row r="20" spans="1:11" ht="15.75">
      <c r="A20" s="11" t="s">
        <v>14</v>
      </c>
      <c r="B20" s="15"/>
    </row>
    <row r="21" spans="1:11" ht="15.75">
      <c r="A21" s="11" t="s">
        <v>15</v>
      </c>
      <c r="B21" s="16" t="str">
        <f>IF(B17-B18&gt;=0,B17-B18,"SEM MARGEM")</f>
        <v>SEM MARGEM</v>
      </c>
    </row>
    <row r="22" spans="1:11">
      <c r="A22" s="102" t="s">
        <v>28</v>
      </c>
      <c r="B22" s="102"/>
    </row>
    <row r="29" spans="1:11">
      <c r="A29" s="2" t="s">
        <v>2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 t="s">
        <v>1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s="5" customFormat="1" ht="11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</row>
    <row r="34" spans="1:1">
      <c r="A34" s="17" t="s">
        <v>16</v>
      </c>
    </row>
    <row r="35" spans="1:1">
      <c r="A35" t="s">
        <v>29</v>
      </c>
    </row>
    <row r="36" spans="1:1">
      <c r="A36" t="s">
        <v>30</v>
      </c>
    </row>
    <row r="37" spans="1:1">
      <c r="A37" t="s">
        <v>31</v>
      </c>
    </row>
  </sheetData>
  <mergeCells count="10">
    <mergeCell ref="A7:B7"/>
    <mergeCell ref="A2:B2"/>
    <mergeCell ref="A3:B3"/>
    <mergeCell ref="A4:B4"/>
    <mergeCell ref="A5:B5"/>
    <mergeCell ref="A8:B8"/>
    <mergeCell ref="A10:A11"/>
    <mergeCell ref="B10:B11"/>
    <mergeCell ref="A22:B22"/>
    <mergeCell ref="A31:K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9:L331"/>
  <sheetViews>
    <sheetView topLeftCell="A242" workbookViewId="0">
      <selection activeCell="J265" sqref="J265"/>
    </sheetView>
  </sheetViews>
  <sheetFormatPr defaultRowHeight="8.25"/>
  <cols>
    <col min="1" max="1" width="9.85546875" style="31" customWidth="1"/>
    <col min="2" max="2" width="9.42578125" style="31" customWidth="1"/>
    <col min="3" max="3" width="9.28515625" style="42" customWidth="1"/>
    <col min="4" max="4" width="8.140625" style="42" customWidth="1"/>
    <col min="5" max="6" width="9.140625" style="31" customWidth="1"/>
    <col min="7" max="7" width="9.7109375" style="31" customWidth="1"/>
    <col min="8" max="8" width="9.28515625" style="31" customWidth="1"/>
    <col min="9" max="9" width="8.85546875" style="31" customWidth="1"/>
    <col min="10" max="10" width="9.42578125" style="31" customWidth="1"/>
    <col min="11" max="16384" width="9.140625" style="31"/>
  </cols>
  <sheetData>
    <row r="9" spans="1:10">
      <c r="C9" s="34" t="s">
        <v>44</v>
      </c>
    </row>
    <row r="11" spans="1:10">
      <c r="E11" s="38"/>
    </row>
    <row r="12" spans="1:10">
      <c r="C12" s="41" t="s">
        <v>45</v>
      </c>
      <c r="E12" s="50"/>
    </row>
    <row r="13" spans="1:10" s="53" customFormat="1">
      <c r="A13" s="36" t="s">
        <v>46</v>
      </c>
      <c r="B13" s="36" t="s">
        <v>47</v>
      </c>
      <c r="C13" s="51" t="s">
        <v>48</v>
      </c>
      <c r="D13" s="51" t="s">
        <v>49</v>
      </c>
      <c r="E13" s="36" t="s">
        <v>50</v>
      </c>
      <c r="F13" s="36" t="s">
        <v>51</v>
      </c>
      <c r="G13" s="36" t="s">
        <v>52</v>
      </c>
      <c r="H13" s="36" t="s">
        <v>53</v>
      </c>
      <c r="I13" s="36" t="s">
        <v>54</v>
      </c>
      <c r="J13" s="52" t="s">
        <v>55</v>
      </c>
    </row>
    <row r="14" spans="1:10">
      <c r="A14" s="32" t="s">
        <v>56</v>
      </c>
      <c r="B14" s="54"/>
      <c r="C14" s="39">
        <v>103747.36</v>
      </c>
      <c r="D14" s="55">
        <f>1445.46</f>
        <v>1445.46</v>
      </c>
      <c r="E14" s="39">
        <v>8124.76</v>
      </c>
      <c r="F14" s="39">
        <v>9043.69</v>
      </c>
      <c r="G14" s="39">
        <v>574.86</v>
      </c>
      <c r="H14" s="39">
        <v>14929.53</v>
      </c>
      <c r="I14" s="39">
        <v>3293.18</v>
      </c>
      <c r="J14" s="39">
        <f>SUM(B14:I14)</f>
        <v>141158.84</v>
      </c>
    </row>
    <row r="15" spans="1:10">
      <c r="A15" s="32" t="s">
        <v>57</v>
      </c>
      <c r="B15" s="54">
        <v>9612.7199999999993</v>
      </c>
      <c r="C15" s="39"/>
      <c r="D15" s="39"/>
      <c r="E15" s="54">
        <v>2018.7</v>
      </c>
      <c r="F15" s="32"/>
      <c r="G15" s="32"/>
      <c r="H15" s="32"/>
      <c r="I15" s="32"/>
      <c r="J15" s="39">
        <f t="shared" ref="J15:J70" si="0">SUM(B15:I15)</f>
        <v>11631.42</v>
      </c>
    </row>
    <row r="16" spans="1:10">
      <c r="A16" s="32" t="s">
        <v>58</v>
      </c>
      <c r="B16" s="32"/>
      <c r="C16" s="39">
        <v>33674.69</v>
      </c>
      <c r="D16" s="39"/>
      <c r="E16" s="54">
        <v>2179.9499999999998</v>
      </c>
      <c r="F16" s="54">
        <v>3918.67</v>
      </c>
      <c r="G16" s="32">
        <v>605.65</v>
      </c>
      <c r="H16" s="54">
        <v>6468.98</v>
      </c>
      <c r="I16" s="54">
        <v>1796.28</v>
      </c>
      <c r="J16" s="39">
        <f t="shared" si="0"/>
        <v>48644.22</v>
      </c>
    </row>
    <row r="17" spans="1:11">
      <c r="A17" s="32" t="s">
        <v>59</v>
      </c>
      <c r="B17" s="32"/>
      <c r="C17" s="39">
        <v>83740.789999999994</v>
      </c>
      <c r="D17" s="39">
        <v>780.92</v>
      </c>
      <c r="E17" s="54">
        <v>2049.9499999999998</v>
      </c>
      <c r="F17" s="54">
        <v>12463.31</v>
      </c>
      <c r="G17" s="54">
        <v>2316.3200000000002</v>
      </c>
      <c r="H17" s="54">
        <v>20574.68</v>
      </c>
      <c r="I17" s="54">
        <v>5688.22</v>
      </c>
      <c r="J17" s="39">
        <f t="shared" si="0"/>
        <v>127614.19</v>
      </c>
    </row>
    <row r="18" spans="1:11">
      <c r="A18" s="32" t="s">
        <v>60</v>
      </c>
      <c r="B18" s="54">
        <v>4876.6000000000004</v>
      </c>
      <c r="C18" s="39"/>
      <c r="D18" s="39"/>
      <c r="E18" s="54">
        <v>1024.08</v>
      </c>
      <c r="F18" s="32"/>
      <c r="G18" s="32"/>
      <c r="H18" s="32"/>
      <c r="I18" s="32"/>
      <c r="J18" s="39">
        <f t="shared" si="0"/>
        <v>5900.68</v>
      </c>
    </row>
    <row r="19" spans="1:11">
      <c r="A19" s="32" t="s">
        <v>61</v>
      </c>
      <c r="B19" s="32"/>
      <c r="C19" s="39">
        <v>100856.72</v>
      </c>
      <c r="D19" s="39"/>
      <c r="E19" s="54">
        <v>1405.5</v>
      </c>
      <c r="F19" s="54">
        <v>14271.34</v>
      </c>
      <c r="G19" s="54">
        <v>3408.71</v>
      </c>
      <c r="H19" s="54">
        <v>23559.360000000001</v>
      </c>
      <c r="I19" s="54">
        <v>7185.12</v>
      </c>
      <c r="J19" s="39">
        <f t="shared" si="0"/>
        <v>150686.75</v>
      </c>
    </row>
    <row r="20" spans="1:11">
      <c r="A20" s="32" t="s">
        <v>62</v>
      </c>
      <c r="B20" s="54"/>
      <c r="C20" s="39">
        <v>130983.89</v>
      </c>
      <c r="D20" s="39"/>
      <c r="E20" s="54">
        <v>1405.51</v>
      </c>
      <c r="F20" s="54">
        <v>20757.419999999998</v>
      </c>
      <c r="G20" s="54">
        <v>2833.73</v>
      </c>
      <c r="H20" s="54">
        <v>34266.69</v>
      </c>
      <c r="I20" s="54">
        <v>8682.02</v>
      </c>
      <c r="J20" s="39">
        <f t="shared" si="0"/>
        <v>198929.26</v>
      </c>
    </row>
    <row r="21" spans="1:11">
      <c r="A21" s="32" t="s">
        <v>63</v>
      </c>
      <c r="B21" s="32"/>
      <c r="C21" s="39">
        <v>25822.35</v>
      </c>
      <c r="D21" s="39">
        <v>265.62</v>
      </c>
      <c r="E21" s="54">
        <v>3499.54</v>
      </c>
      <c r="F21" s="54">
        <v>1458.74</v>
      </c>
      <c r="G21" s="32">
        <v>211.14</v>
      </c>
      <c r="H21" s="56">
        <v>2408.1</v>
      </c>
      <c r="I21" s="54">
        <v>1197.52</v>
      </c>
      <c r="J21" s="39">
        <f t="shared" si="0"/>
        <v>34863.009999999995</v>
      </c>
    </row>
    <row r="22" spans="1:11">
      <c r="A22" s="32" t="s">
        <v>64</v>
      </c>
      <c r="B22" s="32"/>
      <c r="C22" s="39">
        <v>7217.49</v>
      </c>
      <c r="D22" s="39"/>
      <c r="E22" s="57">
        <v>439</v>
      </c>
      <c r="F22" s="54">
        <v>645.82000000000005</v>
      </c>
      <c r="G22" s="32"/>
      <c r="H22" s="54">
        <v>1066.1400000000001</v>
      </c>
      <c r="I22" s="32">
        <v>299.38</v>
      </c>
      <c r="J22" s="39">
        <f t="shared" si="0"/>
        <v>9667.8299999999981</v>
      </c>
      <c r="K22" s="58"/>
    </row>
    <row r="23" spans="1:11">
      <c r="A23" s="32" t="s">
        <v>65</v>
      </c>
      <c r="B23" s="32"/>
      <c r="C23" s="39">
        <v>279769.73</v>
      </c>
      <c r="D23" s="39">
        <v>714.32</v>
      </c>
      <c r="E23" s="54">
        <v>2941.91</v>
      </c>
      <c r="F23" s="54">
        <v>39623.21</v>
      </c>
      <c r="G23" s="54">
        <v>9026.4699999999993</v>
      </c>
      <c r="H23" s="54">
        <v>65410.44</v>
      </c>
      <c r="I23" s="54">
        <v>24249.78</v>
      </c>
      <c r="J23" s="39">
        <f>SUM(B23:I23)</f>
        <v>421735.86</v>
      </c>
    </row>
    <row r="24" spans="1:11">
      <c r="A24" s="32" t="s">
        <v>66</v>
      </c>
      <c r="B24" s="54">
        <v>16154.79</v>
      </c>
      <c r="C24" s="39"/>
      <c r="D24" s="39"/>
      <c r="E24" s="54">
        <v>3392.47</v>
      </c>
      <c r="F24" s="32"/>
      <c r="G24" s="32"/>
      <c r="H24" s="32"/>
      <c r="I24" s="32"/>
      <c r="J24" s="39">
        <f t="shared" si="0"/>
        <v>19547.260000000002</v>
      </c>
    </row>
    <row r="25" spans="1:11">
      <c r="A25" s="32" t="s">
        <v>67</v>
      </c>
      <c r="B25" s="32"/>
      <c r="C25" s="39">
        <v>24519.759999999998</v>
      </c>
      <c r="D25" s="39"/>
      <c r="E25" s="54"/>
      <c r="F25" s="54">
        <v>3544.07</v>
      </c>
      <c r="G25" s="32">
        <v>600.89</v>
      </c>
      <c r="H25" s="54">
        <v>5850.59</v>
      </c>
      <c r="I25" s="54">
        <v>1496.9</v>
      </c>
      <c r="J25" s="39">
        <f t="shared" si="0"/>
        <v>36012.21</v>
      </c>
    </row>
    <row r="26" spans="1:11">
      <c r="A26" s="32" t="s">
        <v>68</v>
      </c>
      <c r="B26" s="32"/>
      <c r="C26" s="39">
        <v>708816.48</v>
      </c>
      <c r="D26" s="39"/>
      <c r="E26" s="32"/>
      <c r="F26" s="54">
        <v>109675.85</v>
      </c>
      <c r="G26" s="54">
        <v>15657.35</v>
      </c>
      <c r="H26" s="54">
        <v>181054.72</v>
      </c>
      <c r="I26" s="54">
        <v>46703.28</v>
      </c>
      <c r="J26" s="39">
        <f t="shared" si="0"/>
        <v>1061907.68</v>
      </c>
    </row>
    <row r="27" spans="1:11">
      <c r="A27" s="32" t="s">
        <v>69</v>
      </c>
      <c r="B27" s="32"/>
      <c r="C27" s="39">
        <v>14137.14</v>
      </c>
      <c r="D27" s="39"/>
      <c r="E27" s="32"/>
      <c r="F27" s="54">
        <v>1682.59</v>
      </c>
      <c r="G27" s="32">
        <v>287.70999999999998</v>
      </c>
      <c r="H27" s="54">
        <v>2777.67</v>
      </c>
      <c r="I27" s="32">
        <v>598.76</v>
      </c>
      <c r="J27" s="39">
        <f t="shared" si="0"/>
        <v>19483.87</v>
      </c>
    </row>
    <row r="28" spans="1:11">
      <c r="A28" s="32" t="s">
        <v>70</v>
      </c>
      <c r="B28" s="32"/>
      <c r="C28" s="39">
        <v>128612.65</v>
      </c>
      <c r="D28" s="39"/>
      <c r="E28" s="32"/>
      <c r="F28" s="54">
        <v>18053.2</v>
      </c>
      <c r="G28" s="54">
        <v>2429.33</v>
      </c>
      <c r="H28" s="54">
        <v>29802.62</v>
      </c>
      <c r="I28" s="54">
        <v>8981.4</v>
      </c>
      <c r="J28" s="39">
        <f t="shared" si="0"/>
        <v>187879.19999999998</v>
      </c>
    </row>
    <row r="29" spans="1:11">
      <c r="A29" s="32" t="s">
        <v>71</v>
      </c>
      <c r="B29" s="32"/>
      <c r="C29" s="39">
        <v>154004.85</v>
      </c>
      <c r="D29" s="39">
        <v>376.58</v>
      </c>
      <c r="E29" s="32">
        <v>988.53</v>
      </c>
      <c r="F29" s="54">
        <v>24741.81</v>
      </c>
      <c r="G29" s="54">
        <v>3197.06</v>
      </c>
      <c r="H29" s="54">
        <v>40844.29</v>
      </c>
      <c r="I29" s="54">
        <v>9879.5400000000009</v>
      </c>
      <c r="J29" s="39">
        <f t="shared" si="0"/>
        <v>234032.66</v>
      </c>
    </row>
    <row r="30" spans="1:11">
      <c r="A30" s="32" t="s">
        <v>72</v>
      </c>
      <c r="B30" s="32"/>
      <c r="C30" s="39">
        <v>5968.98</v>
      </c>
      <c r="D30" s="39"/>
      <c r="E30" s="54"/>
      <c r="F30" s="32">
        <v>815.15</v>
      </c>
      <c r="G30" s="32">
        <v>238.75</v>
      </c>
      <c r="H30" s="54">
        <v>1345.65</v>
      </c>
      <c r="I30" s="32">
        <v>598.76</v>
      </c>
      <c r="J30" s="39">
        <f t="shared" si="0"/>
        <v>8967.2899999999991</v>
      </c>
    </row>
    <row r="31" spans="1:11">
      <c r="A31" s="32" t="s">
        <v>73</v>
      </c>
      <c r="B31" s="32"/>
      <c r="C31" s="39">
        <v>73239.990000000005</v>
      </c>
      <c r="D31" s="39"/>
      <c r="E31" s="54"/>
      <c r="F31" s="54">
        <v>10341.09</v>
      </c>
      <c r="G31" s="54">
        <v>2361.9899999999998</v>
      </c>
      <c r="H31" s="54">
        <v>17071.14</v>
      </c>
      <c r="I31" s="54">
        <v>8981.4</v>
      </c>
      <c r="J31" s="39">
        <f t="shared" si="0"/>
        <v>111995.61</v>
      </c>
    </row>
    <row r="32" spans="1:11">
      <c r="A32" s="32" t="s">
        <v>74</v>
      </c>
      <c r="B32" s="32"/>
      <c r="C32" s="39">
        <v>55295.16</v>
      </c>
      <c r="D32" s="39">
        <v>195.44</v>
      </c>
      <c r="E32" s="32">
        <v>513.05999999999995</v>
      </c>
      <c r="F32" s="54">
        <v>6684.9</v>
      </c>
      <c r="G32" s="54">
        <v>1709.36</v>
      </c>
      <c r="H32" s="54">
        <v>11035.59</v>
      </c>
      <c r="I32" s="54">
        <v>6286.98</v>
      </c>
      <c r="J32" s="39">
        <f t="shared" si="0"/>
        <v>81720.490000000005</v>
      </c>
    </row>
    <row r="33" spans="1:10">
      <c r="A33" s="32" t="s">
        <v>75</v>
      </c>
      <c r="B33" s="32"/>
      <c r="C33" s="39">
        <v>209815.31</v>
      </c>
      <c r="D33" s="39"/>
      <c r="E33" s="54"/>
      <c r="F33" s="54">
        <v>34028.879999999997</v>
      </c>
      <c r="G33" s="54">
        <v>5830.75</v>
      </c>
      <c r="H33" s="54">
        <v>56175.24</v>
      </c>
      <c r="I33" s="54">
        <v>19459.7</v>
      </c>
      <c r="J33" s="39">
        <f t="shared" si="0"/>
        <v>325309.88</v>
      </c>
    </row>
    <row r="34" spans="1:10">
      <c r="A34" s="32" t="s">
        <v>76</v>
      </c>
      <c r="B34" s="54">
        <v>21063.94</v>
      </c>
      <c r="C34" s="39"/>
      <c r="D34" s="39"/>
      <c r="E34" s="54">
        <v>4423.29</v>
      </c>
      <c r="F34" s="54"/>
      <c r="G34" s="32"/>
      <c r="H34" s="32"/>
      <c r="I34" s="32"/>
      <c r="J34" s="39">
        <f t="shared" si="0"/>
        <v>25487.23</v>
      </c>
    </row>
    <row r="35" spans="1:10">
      <c r="A35" s="32" t="s">
        <v>77</v>
      </c>
      <c r="B35" s="54">
        <v>92986.72</v>
      </c>
      <c r="C35" s="39"/>
      <c r="D35" s="39"/>
      <c r="E35" s="54">
        <v>19526.900000000001</v>
      </c>
      <c r="F35" s="32"/>
      <c r="G35" s="32"/>
      <c r="H35" s="32"/>
      <c r="I35" s="32"/>
      <c r="J35" s="39">
        <f t="shared" si="0"/>
        <v>112513.62</v>
      </c>
    </row>
    <row r="36" spans="1:10">
      <c r="A36" s="32" t="s">
        <v>78</v>
      </c>
      <c r="B36" s="32"/>
      <c r="C36" s="39">
        <v>15041.41</v>
      </c>
      <c r="D36" s="39"/>
      <c r="E36" s="54"/>
      <c r="F36" s="54">
        <v>2666.62</v>
      </c>
      <c r="G36" s="39">
        <v>601.6</v>
      </c>
      <c r="H36" s="54">
        <v>4402.05</v>
      </c>
      <c r="I36" s="54">
        <v>2694.42</v>
      </c>
      <c r="J36" s="39">
        <f t="shared" si="0"/>
        <v>25406.1</v>
      </c>
    </row>
    <row r="37" spans="1:10">
      <c r="A37" s="32" t="s">
        <v>79</v>
      </c>
      <c r="B37" s="54">
        <v>5394.41</v>
      </c>
      <c r="C37" s="39"/>
      <c r="D37" s="39"/>
      <c r="E37" s="54">
        <v>1132.8</v>
      </c>
      <c r="F37" s="32"/>
      <c r="G37" s="32"/>
      <c r="H37" s="32"/>
      <c r="I37" s="32"/>
      <c r="J37" s="39">
        <f t="shared" si="0"/>
        <v>6527.21</v>
      </c>
    </row>
    <row r="38" spans="1:10">
      <c r="A38" s="32" t="s">
        <v>80</v>
      </c>
      <c r="B38" s="32"/>
      <c r="C38" s="39">
        <v>79087.240000000005</v>
      </c>
      <c r="D38" s="39"/>
      <c r="E38" s="32"/>
      <c r="F38" s="54">
        <v>12048.07</v>
      </c>
      <c r="G38" s="54">
        <v>1734.82</v>
      </c>
      <c r="H38" s="54">
        <v>19889.150000000001</v>
      </c>
      <c r="I38" s="54">
        <v>5089.46</v>
      </c>
      <c r="J38" s="39">
        <f>SUM(B38:I38)</f>
        <v>117848.74</v>
      </c>
    </row>
    <row r="39" spans="1:10">
      <c r="A39" s="32" t="s">
        <v>81</v>
      </c>
      <c r="B39" s="32"/>
      <c r="C39" s="39">
        <v>76252.98</v>
      </c>
      <c r="D39" s="39"/>
      <c r="E39" s="54">
        <v>2243.17</v>
      </c>
      <c r="F39" s="54">
        <v>9205.9699999999993</v>
      </c>
      <c r="G39" s="54">
        <v>1051.06</v>
      </c>
      <c r="H39" s="54">
        <v>15197.43</v>
      </c>
      <c r="I39" s="54">
        <v>4490.7</v>
      </c>
      <c r="J39" s="39">
        <f t="shared" si="0"/>
        <v>108441.30999999998</v>
      </c>
    </row>
    <row r="40" spans="1:10">
      <c r="A40" s="32" t="s">
        <v>82</v>
      </c>
      <c r="B40" s="32"/>
      <c r="C40" s="39">
        <v>15481.4</v>
      </c>
      <c r="D40" s="39"/>
      <c r="E40" s="54"/>
      <c r="F40" s="54">
        <v>2277.1999999999998</v>
      </c>
      <c r="G40" s="32">
        <v>520.15</v>
      </c>
      <c r="H40" s="54">
        <v>3759.24</v>
      </c>
      <c r="I40" s="54">
        <v>1197.52</v>
      </c>
      <c r="J40" s="39">
        <f>SUM(B40:I40)</f>
        <v>23235.51</v>
      </c>
    </row>
    <row r="41" spans="1:10">
      <c r="A41" s="32" t="s">
        <v>83</v>
      </c>
      <c r="B41" s="32"/>
      <c r="C41" s="39">
        <v>20677.66</v>
      </c>
      <c r="D41" s="39"/>
      <c r="E41" s="54"/>
      <c r="F41" s="54">
        <v>2315.21</v>
      </c>
      <c r="G41" s="32">
        <v>619.99</v>
      </c>
      <c r="H41" s="54">
        <v>3822.01</v>
      </c>
      <c r="I41" s="32">
        <v>898.14</v>
      </c>
      <c r="J41" s="39">
        <f>SUM(B41:I41)</f>
        <v>28333.010000000002</v>
      </c>
    </row>
    <row r="42" spans="1:10">
      <c r="A42" s="32" t="s">
        <v>84</v>
      </c>
      <c r="B42" s="32"/>
      <c r="C42" s="39">
        <v>84001.97</v>
      </c>
      <c r="D42" s="39"/>
      <c r="E42" s="54"/>
      <c r="F42" s="54">
        <v>12572.04</v>
      </c>
      <c r="G42" s="54">
        <v>3104.28</v>
      </c>
      <c r="H42" s="54">
        <v>20753.939999999999</v>
      </c>
      <c r="I42" s="54">
        <v>10178.92</v>
      </c>
      <c r="J42" s="39">
        <f t="shared" si="0"/>
        <v>130611.15000000001</v>
      </c>
    </row>
    <row r="43" spans="1:10">
      <c r="A43" s="32" t="s">
        <v>85</v>
      </c>
      <c r="B43" s="32"/>
      <c r="C43" s="39">
        <v>25677.1</v>
      </c>
      <c r="D43" s="39"/>
      <c r="E43" s="32"/>
      <c r="F43" s="54">
        <v>3276.04</v>
      </c>
      <c r="G43" s="32">
        <v>328.5</v>
      </c>
      <c r="H43" s="54">
        <v>5408.17</v>
      </c>
      <c r="I43" s="54">
        <v>1197.52</v>
      </c>
      <c r="J43" s="39">
        <f t="shared" si="0"/>
        <v>35887.329999999994</v>
      </c>
    </row>
    <row r="44" spans="1:10">
      <c r="A44" s="32" t="s">
        <v>86</v>
      </c>
      <c r="B44" s="32"/>
      <c r="C44" s="39">
        <v>73429.259999999995</v>
      </c>
      <c r="D44" s="39"/>
      <c r="E44" s="32"/>
      <c r="F44" s="54">
        <v>11922.16</v>
      </c>
      <c r="G44" s="54">
        <v>2324.17</v>
      </c>
      <c r="H44" s="54">
        <v>19681.21</v>
      </c>
      <c r="I44" s="54">
        <v>4790.08</v>
      </c>
      <c r="J44" s="39">
        <f t="shared" si="0"/>
        <v>112146.87999999999</v>
      </c>
    </row>
    <row r="45" spans="1:10">
      <c r="A45" s="32" t="s">
        <v>87</v>
      </c>
      <c r="B45" s="32"/>
      <c r="C45" s="39">
        <v>235873.79</v>
      </c>
      <c r="D45" s="39"/>
      <c r="E45" s="54">
        <v>3771.41</v>
      </c>
      <c r="F45" s="54">
        <v>35827</v>
      </c>
      <c r="G45" s="54">
        <v>6704.39</v>
      </c>
      <c r="H45" s="54">
        <v>59143.8</v>
      </c>
      <c r="I45" s="54">
        <v>14969</v>
      </c>
      <c r="J45" s="39">
        <f t="shared" si="0"/>
        <v>356289.39</v>
      </c>
    </row>
    <row r="46" spans="1:10">
      <c r="A46" s="32" t="s">
        <v>88</v>
      </c>
      <c r="B46" s="32"/>
      <c r="C46" s="39">
        <v>7323.03</v>
      </c>
      <c r="D46" s="39"/>
      <c r="E46" s="32"/>
      <c r="F46" s="54">
        <v>1198.47</v>
      </c>
      <c r="G46" s="32">
        <v>292.91000000000003</v>
      </c>
      <c r="H46" s="54">
        <v>1978.45</v>
      </c>
      <c r="I46" s="32">
        <v>598.76</v>
      </c>
      <c r="J46" s="39">
        <f t="shared" si="0"/>
        <v>11391.62</v>
      </c>
    </row>
    <row r="47" spans="1:10">
      <c r="A47" s="32" t="s">
        <v>89</v>
      </c>
      <c r="B47" s="32"/>
      <c r="C47" s="39">
        <v>9098.2199999999993</v>
      </c>
      <c r="D47" s="39"/>
      <c r="E47" s="32"/>
      <c r="F47" s="54">
        <v>1315.08</v>
      </c>
      <c r="G47" s="32">
        <v>347.31</v>
      </c>
      <c r="H47" s="54">
        <v>2170.96</v>
      </c>
      <c r="I47" s="32">
        <v>598.76</v>
      </c>
      <c r="J47" s="39">
        <f t="shared" si="0"/>
        <v>13530.33</v>
      </c>
    </row>
    <row r="48" spans="1:10">
      <c r="A48" s="32" t="s">
        <v>90</v>
      </c>
      <c r="B48" s="32"/>
      <c r="C48" s="39">
        <v>145654.60999999999</v>
      </c>
      <c r="D48" s="39"/>
      <c r="E48" s="32"/>
      <c r="F48" s="54">
        <v>24003.72</v>
      </c>
      <c r="G48" s="54">
        <v>2211.23</v>
      </c>
      <c r="H48" s="54">
        <v>39625.85</v>
      </c>
      <c r="I48" s="54">
        <v>6586.36</v>
      </c>
      <c r="J48" s="39">
        <f t="shared" si="0"/>
        <v>218081.77</v>
      </c>
    </row>
    <row r="49" spans="1:10">
      <c r="A49" s="32" t="s">
        <v>91</v>
      </c>
      <c r="B49" s="32"/>
      <c r="C49" s="39">
        <v>14004.68</v>
      </c>
      <c r="D49" s="39"/>
      <c r="E49" s="54">
        <v>2940.96</v>
      </c>
      <c r="F49" s="54"/>
      <c r="G49" s="32"/>
      <c r="H49" s="32"/>
      <c r="I49" s="32"/>
      <c r="J49" s="39">
        <f t="shared" si="0"/>
        <v>16945.64</v>
      </c>
    </row>
    <row r="50" spans="1:10">
      <c r="A50" s="32" t="s">
        <v>92</v>
      </c>
      <c r="B50" s="32"/>
      <c r="C50" s="39">
        <v>21987.86</v>
      </c>
      <c r="D50" s="39"/>
      <c r="E50" s="32"/>
      <c r="F50" s="54">
        <v>3974.14</v>
      </c>
      <c r="G50" s="32">
        <v>879.51</v>
      </c>
      <c r="H50" s="54">
        <v>6560.6</v>
      </c>
      <c r="I50" s="54">
        <v>1197.52</v>
      </c>
      <c r="J50" s="39">
        <f t="shared" si="0"/>
        <v>34599.629999999997</v>
      </c>
    </row>
    <row r="51" spans="1:10">
      <c r="A51" s="32" t="s">
        <v>93</v>
      </c>
      <c r="B51" s="32"/>
      <c r="C51" s="39">
        <v>5787.2</v>
      </c>
      <c r="D51" s="39"/>
      <c r="E51" s="40"/>
      <c r="F51" s="32">
        <v>487.41</v>
      </c>
      <c r="G51" s="32"/>
      <c r="H51" s="32">
        <v>804.63</v>
      </c>
      <c r="I51" s="40">
        <v>299.38</v>
      </c>
      <c r="J51" s="39">
        <f>SUM(B51:I51)</f>
        <v>7378.62</v>
      </c>
    </row>
    <row r="52" spans="1:10">
      <c r="A52" s="32" t="s">
        <v>94</v>
      </c>
      <c r="B52" s="39">
        <v>2658.3</v>
      </c>
      <c r="C52" s="39"/>
      <c r="D52" s="39"/>
      <c r="E52" s="32">
        <v>558.26</v>
      </c>
      <c r="F52" s="32"/>
      <c r="G52" s="32"/>
      <c r="H52" s="32"/>
      <c r="I52" s="32"/>
      <c r="J52" s="39">
        <f t="shared" si="0"/>
        <v>3216.5600000000004</v>
      </c>
    </row>
    <row r="53" spans="1:10">
      <c r="A53" s="32" t="s">
        <v>95</v>
      </c>
      <c r="B53" s="32"/>
      <c r="C53" s="39">
        <v>17176.3</v>
      </c>
      <c r="D53" s="39"/>
      <c r="E53" s="32"/>
      <c r="F53" s="54">
        <v>2249.77</v>
      </c>
      <c r="G53" s="32">
        <v>221.23</v>
      </c>
      <c r="H53" s="54">
        <v>3713.97</v>
      </c>
      <c r="I53" s="54">
        <v>1197.52</v>
      </c>
      <c r="J53" s="39">
        <f t="shared" si="0"/>
        <v>24558.79</v>
      </c>
    </row>
    <row r="54" spans="1:10">
      <c r="A54" s="32" t="s">
        <v>96</v>
      </c>
      <c r="B54" s="32"/>
      <c r="C54" s="39">
        <v>18536.95</v>
      </c>
      <c r="D54" s="39"/>
      <c r="E54" s="32"/>
      <c r="F54" s="54">
        <v>2732.83</v>
      </c>
      <c r="G54" s="32">
        <v>767.79</v>
      </c>
      <c r="H54" s="54">
        <v>4511.3500000000004</v>
      </c>
      <c r="I54" s="54">
        <v>2095.66</v>
      </c>
      <c r="J54" s="39">
        <f t="shared" si="0"/>
        <v>28644.579999999998</v>
      </c>
    </row>
    <row r="55" spans="1:10">
      <c r="A55" s="32" t="s">
        <v>97</v>
      </c>
      <c r="B55" s="32"/>
      <c r="C55" s="39">
        <v>17135.919999999998</v>
      </c>
      <c r="D55" s="39"/>
      <c r="E55" s="32"/>
      <c r="F55" s="54">
        <v>2511.85</v>
      </c>
      <c r="G55" s="32">
        <v>685.43</v>
      </c>
      <c r="H55" s="54">
        <v>4146.6000000000004</v>
      </c>
      <c r="I55" s="32">
        <v>898.14</v>
      </c>
      <c r="J55" s="39">
        <f>SUM(B55:I55)</f>
        <v>25377.939999999995</v>
      </c>
    </row>
    <row r="56" spans="1:10">
      <c r="A56" s="32" t="s">
        <v>98</v>
      </c>
      <c r="B56" s="32"/>
      <c r="C56" s="39">
        <v>15686.06</v>
      </c>
      <c r="D56" s="39"/>
      <c r="E56" s="32"/>
      <c r="F56" s="54">
        <v>2543.9299999999998</v>
      </c>
      <c r="G56" s="32">
        <v>352.48</v>
      </c>
      <c r="H56" s="54">
        <v>4199.5200000000004</v>
      </c>
      <c r="I56" s="54">
        <v>1197.52</v>
      </c>
      <c r="J56" s="39">
        <f t="shared" si="0"/>
        <v>23979.51</v>
      </c>
    </row>
    <row r="57" spans="1:10">
      <c r="A57" s="32" t="s">
        <v>99</v>
      </c>
      <c r="B57" s="39">
        <v>6773.46</v>
      </c>
      <c r="C57" s="39"/>
      <c r="D57" s="39"/>
      <c r="E57" s="54">
        <v>1422.42</v>
      </c>
      <c r="F57" s="32"/>
      <c r="G57" s="32"/>
      <c r="H57" s="32"/>
      <c r="I57" s="32"/>
      <c r="J57" s="39">
        <f t="shared" si="0"/>
        <v>8195.880000000001</v>
      </c>
    </row>
    <row r="58" spans="1:10">
      <c r="A58" s="32" t="s">
        <v>100</v>
      </c>
      <c r="B58" s="32"/>
      <c r="C58" s="39">
        <v>5909.1</v>
      </c>
      <c r="D58" s="39"/>
      <c r="E58" s="32"/>
      <c r="F58" s="32">
        <v>633.63</v>
      </c>
      <c r="G58" s="32"/>
      <c r="H58" s="54">
        <v>1046.02</v>
      </c>
      <c r="I58" s="32">
        <v>299.38</v>
      </c>
      <c r="J58" s="39">
        <f t="shared" si="0"/>
        <v>7888.13</v>
      </c>
    </row>
    <row r="59" spans="1:10">
      <c r="A59" s="32" t="s">
        <v>101</v>
      </c>
      <c r="B59" s="54"/>
      <c r="C59" s="39">
        <v>9311.66</v>
      </c>
      <c r="D59" s="39"/>
      <c r="E59" s="54"/>
      <c r="F59" s="54">
        <v>1578.49</v>
      </c>
      <c r="G59" s="32">
        <v>191.11</v>
      </c>
      <c r="H59" s="54">
        <v>2605.79</v>
      </c>
      <c r="I59" s="32">
        <v>299.38</v>
      </c>
      <c r="J59" s="39">
        <f t="shared" si="0"/>
        <v>13986.429999999998</v>
      </c>
    </row>
    <row r="60" spans="1:10">
      <c r="A60" s="32" t="s">
        <v>102</v>
      </c>
      <c r="B60" s="32"/>
      <c r="C60" s="39">
        <v>26402.94</v>
      </c>
      <c r="D60" s="39"/>
      <c r="E60" s="32"/>
      <c r="F60" s="54">
        <v>3823.31</v>
      </c>
      <c r="G60" s="32">
        <v>567.64</v>
      </c>
      <c r="H60" s="54">
        <v>6311.59</v>
      </c>
      <c r="I60" s="54">
        <v>1796.28</v>
      </c>
      <c r="J60" s="39">
        <f t="shared" si="0"/>
        <v>38901.759999999995</v>
      </c>
    </row>
    <row r="61" spans="1:10">
      <c r="A61" s="32" t="s">
        <v>103</v>
      </c>
      <c r="B61" s="54">
        <v>17719.62</v>
      </c>
      <c r="C61" s="39"/>
      <c r="D61" s="39"/>
      <c r="E61" s="54">
        <v>3721.13</v>
      </c>
      <c r="F61" s="32"/>
      <c r="G61" s="32"/>
      <c r="H61" s="32"/>
      <c r="I61" s="32"/>
      <c r="J61" s="39">
        <f t="shared" si="0"/>
        <v>21440.75</v>
      </c>
    </row>
    <row r="62" spans="1:10">
      <c r="A62" s="32" t="s">
        <v>104</v>
      </c>
      <c r="B62" s="54">
        <v>16432.189999999999</v>
      </c>
      <c r="C62" s="39"/>
      <c r="D62" s="39"/>
      <c r="E62" s="54">
        <v>3450.74</v>
      </c>
      <c r="F62" s="32"/>
      <c r="G62" s="32"/>
      <c r="H62" s="32"/>
      <c r="I62" s="32"/>
      <c r="J62" s="39">
        <f t="shared" si="0"/>
        <v>19882.93</v>
      </c>
    </row>
    <row r="63" spans="1:10">
      <c r="A63" s="32" t="s">
        <v>105</v>
      </c>
      <c r="B63" s="54"/>
      <c r="C63" s="54">
        <v>16162.5</v>
      </c>
      <c r="D63" s="39">
        <v>1293</v>
      </c>
      <c r="E63" s="54">
        <v>3394.29</v>
      </c>
      <c r="F63" s="32"/>
      <c r="G63" s="32"/>
      <c r="H63" s="32"/>
      <c r="I63" s="32"/>
      <c r="J63" s="39">
        <f t="shared" si="0"/>
        <v>20849.79</v>
      </c>
    </row>
    <row r="64" spans="1:10">
      <c r="A64" s="32" t="s">
        <v>106</v>
      </c>
      <c r="B64" s="32"/>
      <c r="C64" s="39">
        <v>135349.34</v>
      </c>
      <c r="D64" s="39">
        <v>381.51</v>
      </c>
      <c r="E64" s="54">
        <v>8915.1299999999992</v>
      </c>
      <c r="F64" s="54">
        <v>13781.51</v>
      </c>
      <c r="G64" s="54">
        <v>2042.09</v>
      </c>
      <c r="H64" s="54">
        <v>22750.76</v>
      </c>
      <c r="I64" s="54">
        <v>6286.98</v>
      </c>
      <c r="J64" s="39">
        <f t="shared" si="0"/>
        <v>189507.32000000004</v>
      </c>
    </row>
    <row r="65" spans="1:10">
      <c r="A65" s="32" t="s">
        <v>107</v>
      </c>
      <c r="B65" s="54">
        <v>1155.93</v>
      </c>
      <c r="C65" s="39"/>
      <c r="D65" s="39"/>
      <c r="E65" s="39">
        <v>242.73</v>
      </c>
      <c r="F65" s="32"/>
      <c r="G65" s="32"/>
      <c r="H65" s="32"/>
      <c r="I65" s="32"/>
      <c r="J65" s="39">
        <f t="shared" si="0"/>
        <v>1398.66</v>
      </c>
    </row>
    <row r="66" spans="1:10">
      <c r="A66" s="32" t="s">
        <v>108</v>
      </c>
      <c r="B66" s="32"/>
      <c r="C66" s="39">
        <v>1782.74</v>
      </c>
      <c r="D66" s="39"/>
      <c r="E66" s="32"/>
      <c r="F66" s="32">
        <v>356.37</v>
      </c>
      <c r="G66" s="39">
        <v>71.3</v>
      </c>
      <c r="H66" s="39">
        <v>588.29999999999995</v>
      </c>
      <c r="I66" s="32">
        <v>299.38</v>
      </c>
      <c r="J66" s="39">
        <f t="shared" si="0"/>
        <v>3098.09</v>
      </c>
    </row>
    <row r="67" spans="1:10">
      <c r="A67" s="32" t="s">
        <v>109</v>
      </c>
      <c r="B67" s="54">
        <v>3535.53</v>
      </c>
      <c r="C67" s="39"/>
      <c r="D67" s="39"/>
      <c r="E67" s="32">
        <v>742.47</v>
      </c>
      <c r="F67" s="32"/>
      <c r="G67" s="32"/>
      <c r="H67" s="32"/>
      <c r="I67" s="32"/>
      <c r="J67" s="39">
        <f t="shared" si="0"/>
        <v>4278</v>
      </c>
    </row>
    <row r="68" spans="1:10">
      <c r="A68" s="32" t="s">
        <v>110</v>
      </c>
      <c r="B68" s="32"/>
      <c r="C68" s="39">
        <v>48689.72</v>
      </c>
      <c r="D68" s="39"/>
      <c r="E68" s="32">
        <v>711.22</v>
      </c>
      <c r="F68" s="54">
        <v>6499.47</v>
      </c>
      <c r="G68" s="54">
        <v>1213.04</v>
      </c>
      <c r="H68" s="54">
        <v>10729.48</v>
      </c>
      <c r="I68" s="54">
        <v>2694.42</v>
      </c>
      <c r="J68" s="39">
        <f t="shared" si="0"/>
        <v>70537.350000000006</v>
      </c>
    </row>
    <row r="69" spans="1:10">
      <c r="A69" s="32" t="s">
        <v>111</v>
      </c>
      <c r="B69" s="32"/>
      <c r="C69" s="39">
        <v>1335.92</v>
      </c>
      <c r="D69" s="39"/>
      <c r="E69" s="32"/>
      <c r="F69" s="54"/>
      <c r="G69" s="54"/>
      <c r="H69" s="54"/>
      <c r="I69" s="54"/>
      <c r="J69" s="39">
        <f t="shared" si="0"/>
        <v>1335.92</v>
      </c>
    </row>
    <row r="70" spans="1:10">
      <c r="A70" s="32" t="s">
        <v>112</v>
      </c>
      <c r="B70" s="54">
        <v>1655.67</v>
      </c>
      <c r="C70" s="39"/>
      <c r="D70" s="39"/>
      <c r="E70" s="32"/>
      <c r="F70" s="54"/>
      <c r="G70" s="54">
        <v>54.18</v>
      </c>
      <c r="H70" s="54"/>
      <c r="I70" s="54"/>
      <c r="J70" s="39">
        <f t="shared" si="0"/>
        <v>1709.8500000000001</v>
      </c>
    </row>
    <row r="71" spans="1:10">
      <c r="B71" s="42">
        <f t="shared" ref="B71:I71" si="1">SUM(B14:B70)</f>
        <v>200019.88</v>
      </c>
      <c r="C71" s="42">
        <f t="shared" si="1"/>
        <v>3283080.9000000004</v>
      </c>
      <c r="D71" s="42">
        <f t="shared" si="1"/>
        <v>5452.85</v>
      </c>
      <c r="E71" s="42">
        <f t="shared" si="1"/>
        <v>87179.88</v>
      </c>
      <c r="F71" s="42">
        <f t="shared" si="1"/>
        <v>471550.02999999991</v>
      </c>
      <c r="G71" s="42">
        <f t="shared" si="1"/>
        <v>78176.279999999941</v>
      </c>
      <c r="H71" s="42">
        <f t="shared" si="1"/>
        <v>778442.29999999993</v>
      </c>
      <c r="I71" s="42">
        <f t="shared" si="1"/>
        <v>227229.42</v>
      </c>
      <c r="J71" s="42">
        <f>SUM(J14:J70)</f>
        <v>5131131.5399999982</v>
      </c>
    </row>
    <row r="72" spans="1:10">
      <c r="A72" s="31" t="s">
        <v>113</v>
      </c>
      <c r="C72" s="42">
        <f>3483100.78-(B71+C71)</f>
        <v>0</v>
      </c>
      <c r="D72" s="42">
        <f>4007.39-D71</f>
        <v>-1445.4600000000005</v>
      </c>
      <c r="E72" s="38">
        <f>86740.88-E71</f>
        <v>-439</v>
      </c>
      <c r="F72" s="38">
        <f>471550.03-F71</f>
        <v>0</v>
      </c>
      <c r="G72" s="38">
        <f>78176.28-G71</f>
        <v>0</v>
      </c>
      <c r="H72" s="38">
        <f>778442.3-H71</f>
        <v>0</v>
      </c>
      <c r="I72" s="38">
        <f>227229.42-I71</f>
        <v>0</v>
      </c>
    </row>
    <row r="74" spans="1:10">
      <c r="A74" s="36" t="s">
        <v>114</v>
      </c>
      <c r="B74" s="36" t="s">
        <v>47</v>
      </c>
      <c r="C74" s="51" t="s">
        <v>48</v>
      </c>
      <c r="D74" s="51" t="s">
        <v>49</v>
      </c>
      <c r="E74" s="36" t="s">
        <v>50</v>
      </c>
      <c r="F74" s="36" t="s">
        <v>51</v>
      </c>
      <c r="G74" s="36" t="s">
        <v>52</v>
      </c>
      <c r="H74" s="36" t="s">
        <v>53</v>
      </c>
      <c r="I74" s="36" t="s">
        <v>54</v>
      </c>
      <c r="J74" s="52" t="s">
        <v>115</v>
      </c>
    </row>
    <row r="75" spans="1:10">
      <c r="A75" s="52" t="s">
        <v>116</v>
      </c>
      <c r="B75" s="32"/>
      <c r="C75" s="39">
        <f>214871</f>
        <v>214871</v>
      </c>
      <c r="D75" s="39"/>
      <c r="E75" s="32"/>
      <c r="F75" s="54">
        <v>8039.02</v>
      </c>
      <c r="G75" s="54">
        <v>5917.61</v>
      </c>
      <c r="H75" s="54">
        <v>13271.17</v>
      </c>
      <c r="I75" s="32"/>
      <c r="J75" s="39">
        <f>SUM(B75:I75)</f>
        <v>242098.8</v>
      </c>
    </row>
    <row r="76" spans="1:10">
      <c r="A76" s="36" t="s">
        <v>117</v>
      </c>
      <c r="B76" s="32"/>
      <c r="C76" s="39">
        <f>1651696.41</f>
        <v>1651696.41</v>
      </c>
      <c r="D76" s="39"/>
      <c r="E76" s="32"/>
      <c r="F76" s="54">
        <v>131305.35</v>
      </c>
      <c r="G76" s="54">
        <v>47461.58</v>
      </c>
      <c r="H76" s="54">
        <f>216763.39</f>
        <v>216763.39</v>
      </c>
      <c r="I76" s="32"/>
      <c r="J76" s="39">
        <f>SUM(B76:I76)</f>
        <v>2047226.73</v>
      </c>
    </row>
    <row r="77" spans="1:10">
      <c r="A77" s="59" t="s">
        <v>118</v>
      </c>
      <c r="B77" s="60">
        <f t="shared" ref="B77:G77" si="2">SUM(B75:B76)</f>
        <v>0</v>
      </c>
      <c r="C77" s="60">
        <f t="shared" si="2"/>
        <v>1866567.41</v>
      </c>
      <c r="D77" s="60">
        <f t="shared" si="2"/>
        <v>0</v>
      </c>
      <c r="E77" s="60">
        <f t="shared" si="2"/>
        <v>0</v>
      </c>
      <c r="F77" s="60">
        <f t="shared" si="2"/>
        <v>139344.37</v>
      </c>
      <c r="G77" s="60">
        <f t="shared" si="2"/>
        <v>53379.19</v>
      </c>
      <c r="H77" s="60">
        <f>SUM(H75:H76)</f>
        <v>230034.56000000003</v>
      </c>
      <c r="I77" s="32"/>
      <c r="J77" s="39">
        <f>SUM(B77:I77)</f>
        <v>2289325.5299999998</v>
      </c>
    </row>
    <row r="80" spans="1:10">
      <c r="A80" s="61" t="s">
        <v>119</v>
      </c>
      <c r="B80" s="35"/>
      <c r="C80" s="62"/>
      <c r="D80" s="62"/>
      <c r="E80" s="35"/>
      <c r="F80" s="35"/>
      <c r="G80" s="35"/>
      <c r="H80" s="35"/>
      <c r="I80" s="35"/>
      <c r="J80" s="63">
        <f>J71+J77</f>
        <v>7420457.0699999984</v>
      </c>
    </row>
    <row r="100" spans="1:10">
      <c r="E100" s="50"/>
    </row>
    <row r="101" spans="1:10">
      <c r="C101" s="41" t="s">
        <v>120</v>
      </c>
    </row>
    <row r="103" spans="1:10">
      <c r="F103" s="133" t="s">
        <v>121</v>
      </c>
      <c r="G103" s="133"/>
      <c r="H103" s="133"/>
    </row>
    <row r="104" spans="1:10">
      <c r="A104" s="36" t="s">
        <v>46</v>
      </c>
      <c r="B104" s="36" t="s">
        <v>47</v>
      </c>
      <c r="C104" s="51" t="s">
        <v>48</v>
      </c>
      <c r="D104" s="51" t="s">
        <v>49</v>
      </c>
      <c r="E104" s="36" t="s">
        <v>50</v>
      </c>
      <c r="F104" s="36" t="s">
        <v>51</v>
      </c>
      <c r="G104" s="36" t="s">
        <v>52</v>
      </c>
      <c r="H104" s="36" t="s">
        <v>53</v>
      </c>
      <c r="I104" s="36" t="s">
        <v>54</v>
      </c>
      <c r="J104" s="36" t="s">
        <v>122</v>
      </c>
    </row>
    <row r="105" spans="1:10">
      <c r="A105" s="32" t="s">
        <v>56</v>
      </c>
      <c r="B105" s="64">
        <v>10</v>
      </c>
      <c r="C105" s="51">
        <f>12+1+0.3333+0.27+(0.086*13)</f>
        <v>14.721299999999999</v>
      </c>
      <c r="D105" s="51">
        <f t="shared" ref="D105:E105" si="3">12+1+0.3333+0.27+(0.086*13)</f>
        <v>14.721299999999999</v>
      </c>
      <c r="E105" s="51">
        <f t="shared" si="3"/>
        <v>14.721299999999999</v>
      </c>
      <c r="F105" s="39">
        <f t="shared" ref="F105:F161" si="4">F14/0.1999</f>
        <v>45241.070535267638</v>
      </c>
      <c r="G105" s="39">
        <f t="shared" ref="G105:G161" si="5">G14/0.04</f>
        <v>14371.5</v>
      </c>
      <c r="H105" s="39">
        <f t="shared" ref="H105:H161" si="6">H14/0.33</f>
        <v>45241</v>
      </c>
      <c r="I105" s="51">
        <f>13.2</f>
        <v>13.2</v>
      </c>
      <c r="J105" s="39">
        <f>1354.64</f>
        <v>1354.64</v>
      </c>
    </row>
    <row r="106" spans="1:10">
      <c r="A106" s="32" t="s">
        <v>57</v>
      </c>
      <c r="B106" s="64">
        <v>10</v>
      </c>
      <c r="C106" s="65">
        <f t="shared" ref="C106:E159" si="7">12+1+0.3333+0.27+(0.086*13)</f>
        <v>14.721299999999999</v>
      </c>
      <c r="D106" s="65">
        <f t="shared" si="7"/>
        <v>14.721299999999999</v>
      </c>
      <c r="E106" s="65">
        <f t="shared" si="7"/>
        <v>14.721299999999999</v>
      </c>
      <c r="F106" s="39">
        <f t="shared" si="4"/>
        <v>0</v>
      </c>
      <c r="G106" s="39">
        <f t="shared" si="5"/>
        <v>0</v>
      </c>
      <c r="H106" s="39">
        <f t="shared" si="6"/>
        <v>0</v>
      </c>
      <c r="I106" s="51">
        <f t="shared" ref="I106:I159" si="8">13.2</f>
        <v>13.2</v>
      </c>
      <c r="J106" s="39"/>
    </row>
    <row r="107" spans="1:10">
      <c r="A107" s="32" t="s">
        <v>58</v>
      </c>
      <c r="B107" s="64">
        <v>10</v>
      </c>
      <c r="C107" s="65">
        <f t="shared" si="7"/>
        <v>14.721299999999999</v>
      </c>
      <c r="D107" s="65">
        <f t="shared" si="7"/>
        <v>14.721299999999999</v>
      </c>
      <c r="E107" s="65">
        <f t="shared" si="7"/>
        <v>14.721299999999999</v>
      </c>
      <c r="F107" s="39">
        <f t="shared" si="4"/>
        <v>19603.151575787895</v>
      </c>
      <c r="G107" s="39">
        <f t="shared" si="5"/>
        <v>15141.25</v>
      </c>
      <c r="H107" s="39">
        <f t="shared" si="6"/>
        <v>19602.969696969696</v>
      </c>
      <c r="I107" s="51">
        <f t="shared" si="8"/>
        <v>13.2</v>
      </c>
      <c r="J107" s="39">
        <v>752.58</v>
      </c>
    </row>
    <row r="108" spans="1:10">
      <c r="A108" s="32" t="s">
        <v>59</v>
      </c>
      <c r="B108" s="64">
        <v>10</v>
      </c>
      <c r="C108" s="65">
        <f t="shared" si="7"/>
        <v>14.721299999999999</v>
      </c>
      <c r="D108" s="65">
        <f t="shared" si="7"/>
        <v>14.721299999999999</v>
      </c>
      <c r="E108" s="65">
        <f t="shared" si="7"/>
        <v>14.721299999999999</v>
      </c>
      <c r="F108" s="39">
        <f t="shared" si="4"/>
        <v>62347.723861930965</v>
      </c>
      <c r="G108" s="39">
        <f t="shared" si="5"/>
        <v>57908</v>
      </c>
      <c r="H108" s="39">
        <f t="shared" si="6"/>
        <v>62347.515151515152</v>
      </c>
      <c r="I108" s="51">
        <f t="shared" si="8"/>
        <v>13.2</v>
      </c>
      <c r="J108" s="39">
        <v>2107.23</v>
      </c>
    </row>
    <row r="109" spans="1:10">
      <c r="A109" s="32" t="s">
        <v>60</v>
      </c>
      <c r="B109" s="64">
        <v>10</v>
      </c>
      <c r="C109" s="65">
        <f t="shared" si="7"/>
        <v>14.721299999999999</v>
      </c>
      <c r="D109" s="65">
        <f t="shared" si="7"/>
        <v>14.721299999999999</v>
      </c>
      <c r="E109" s="65">
        <f t="shared" si="7"/>
        <v>14.721299999999999</v>
      </c>
      <c r="F109" s="39">
        <f t="shared" si="4"/>
        <v>0</v>
      </c>
      <c r="G109" s="39">
        <f t="shared" si="5"/>
        <v>0</v>
      </c>
      <c r="H109" s="39">
        <f t="shared" si="6"/>
        <v>0</v>
      </c>
      <c r="I109" s="51">
        <f t="shared" si="8"/>
        <v>13.2</v>
      </c>
      <c r="J109" s="39"/>
    </row>
    <row r="110" spans="1:10">
      <c r="A110" s="32" t="s">
        <v>61</v>
      </c>
      <c r="B110" s="64">
        <v>10</v>
      </c>
      <c r="C110" s="65">
        <f t="shared" si="7"/>
        <v>14.721299999999999</v>
      </c>
      <c r="D110" s="65">
        <f t="shared" si="7"/>
        <v>14.721299999999999</v>
      </c>
      <c r="E110" s="65">
        <f t="shared" si="7"/>
        <v>14.721299999999999</v>
      </c>
      <c r="F110" s="39">
        <f t="shared" si="4"/>
        <v>71392.396198099057</v>
      </c>
      <c r="G110" s="39">
        <f t="shared" si="5"/>
        <v>85217.75</v>
      </c>
      <c r="H110" s="39">
        <f t="shared" si="6"/>
        <v>71392</v>
      </c>
      <c r="I110" s="51">
        <f t="shared" si="8"/>
        <v>13.2</v>
      </c>
      <c r="J110" s="39">
        <v>7977.35</v>
      </c>
    </row>
    <row r="111" spans="1:10">
      <c r="A111" s="32" t="s">
        <v>62</v>
      </c>
      <c r="B111" s="64">
        <v>10</v>
      </c>
      <c r="C111" s="65">
        <f t="shared" si="7"/>
        <v>14.721299999999999</v>
      </c>
      <c r="D111" s="65">
        <f t="shared" si="7"/>
        <v>14.721299999999999</v>
      </c>
      <c r="E111" s="65">
        <f t="shared" si="7"/>
        <v>14.721299999999999</v>
      </c>
      <c r="F111" s="39">
        <f t="shared" si="4"/>
        <v>103839.01950975487</v>
      </c>
      <c r="G111" s="39">
        <f t="shared" si="5"/>
        <v>70843.25</v>
      </c>
      <c r="H111" s="39">
        <f t="shared" si="6"/>
        <v>103838.45454545454</v>
      </c>
      <c r="I111" s="51">
        <f t="shared" si="8"/>
        <v>13.2</v>
      </c>
      <c r="J111" s="39">
        <v>7074.28</v>
      </c>
    </row>
    <row r="112" spans="1:10">
      <c r="A112" s="32" t="s">
        <v>63</v>
      </c>
      <c r="B112" s="64">
        <v>10</v>
      </c>
      <c r="C112" s="65">
        <f t="shared" si="7"/>
        <v>14.721299999999999</v>
      </c>
      <c r="D112" s="65">
        <f t="shared" si="7"/>
        <v>14.721299999999999</v>
      </c>
      <c r="E112" s="65">
        <f t="shared" si="7"/>
        <v>14.721299999999999</v>
      </c>
      <c r="F112" s="39">
        <f t="shared" si="4"/>
        <v>7297.3486743371686</v>
      </c>
      <c r="G112" s="39">
        <f t="shared" si="5"/>
        <v>5278.5</v>
      </c>
      <c r="H112" s="39">
        <f t="shared" si="6"/>
        <v>7297.272727272727</v>
      </c>
      <c r="I112" s="51">
        <f t="shared" si="8"/>
        <v>13.2</v>
      </c>
      <c r="J112" s="39">
        <v>1655.68</v>
      </c>
    </row>
    <row r="113" spans="1:10">
      <c r="A113" s="32" t="s">
        <v>64</v>
      </c>
      <c r="B113" s="64">
        <v>10</v>
      </c>
      <c r="C113" s="65">
        <f t="shared" si="7"/>
        <v>14.721299999999999</v>
      </c>
      <c r="D113" s="65">
        <f t="shared" si="7"/>
        <v>14.721299999999999</v>
      </c>
      <c r="E113" s="65">
        <f t="shared" si="7"/>
        <v>14.721299999999999</v>
      </c>
      <c r="F113" s="39">
        <f t="shared" si="4"/>
        <v>3230.7153576788396</v>
      </c>
      <c r="G113" s="39">
        <f t="shared" si="5"/>
        <v>0</v>
      </c>
      <c r="H113" s="39">
        <f t="shared" si="6"/>
        <v>3230.727272727273</v>
      </c>
      <c r="I113" s="51">
        <f t="shared" si="8"/>
        <v>13.2</v>
      </c>
      <c r="J113" s="39"/>
    </row>
    <row r="114" spans="1:10">
      <c r="A114" s="32" t="s">
        <v>65</v>
      </c>
      <c r="B114" s="64">
        <v>10</v>
      </c>
      <c r="C114" s="65">
        <f t="shared" si="7"/>
        <v>14.721299999999999</v>
      </c>
      <c r="D114" s="65">
        <f t="shared" si="7"/>
        <v>14.721299999999999</v>
      </c>
      <c r="E114" s="65">
        <f t="shared" si="7"/>
        <v>14.721299999999999</v>
      </c>
      <c r="F114" s="39">
        <f t="shared" si="4"/>
        <v>198215.1575787894</v>
      </c>
      <c r="G114" s="39">
        <f t="shared" si="5"/>
        <v>225661.74999999997</v>
      </c>
      <c r="H114" s="39">
        <f t="shared" si="6"/>
        <v>198213.45454545453</v>
      </c>
      <c r="I114" s="51">
        <f t="shared" si="8"/>
        <v>13.2</v>
      </c>
      <c r="J114" s="39">
        <v>3612.39</v>
      </c>
    </row>
    <row r="115" spans="1:10">
      <c r="A115" s="32" t="s">
        <v>66</v>
      </c>
      <c r="B115" s="64">
        <v>10</v>
      </c>
      <c r="C115" s="65">
        <f t="shared" si="7"/>
        <v>14.721299999999999</v>
      </c>
      <c r="D115" s="65">
        <f t="shared" si="7"/>
        <v>14.721299999999999</v>
      </c>
      <c r="E115" s="65">
        <f t="shared" si="7"/>
        <v>14.721299999999999</v>
      </c>
      <c r="F115" s="39">
        <f t="shared" si="4"/>
        <v>0</v>
      </c>
      <c r="G115" s="39">
        <f t="shared" si="5"/>
        <v>0</v>
      </c>
      <c r="H115" s="39">
        <f t="shared" si="6"/>
        <v>0</v>
      </c>
      <c r="I115" s="51">
        <f t="shared" si="8"/>
        <v>13.2</v>
      </c>
      <c r="J115" s="39"/>
    </row>
    <row r="116" spans="1:10">
      <c r="A116" s="32" t="s">
        <v>67</v>
      </c>
      <c r="B116" s="64">
        <v>10</v>
      </c>
      <c r="C116" s="65">
        <f t="shared" si="7"/>
        <v>14.721299999999999</v>
      </c>
      <c r="D116" s="65">
        <f t="shared" si="7"/>
        <v>14.721299999999999</v>
      </c>
      <c r="E116" s="65">
        <f t="shared" si="7"/>
        <v>14.721299999999999</v>
      </c>
      <c r="F116" s="39">
        <f t="shared" si="4"/>
        <v>17729.214607303653</v>
      </c>
      <c r="G116" s="39">
        <f t="shared" si="5"/>
        <v>15022.25</v>
      </c>
      <c r="H116" s="39">
        <f t="shared" si="6"/>
        <v>17729.060606060604</v>
      </c>
      <c r="I116" s="51">
        <f t="shared" si="8"/>
        <v>13.2</v>
      </c>
      <c r="J116" s="39">
        <v>1053.6099999999999</v>
      </c>
    </row>
    <row r="117" spans="1:10">
      <c r="A117" s="32" t="s">
        <v>68</v>
      </c>
      <c r="B117" s="64">
        <v>10</v>
      </c>
      <c r="C117" s="65">
        <f t="shared" si="7"/>
        <v>14.721299999999999</v>
      </c>
      <c r="D117" s="65">
        <f t="shared" si="7"/>
        <v>14.721299999999999</v>
      </c>
      <c r="E117" s="65">
        <f t="shared" si="7"/>
        <v>14.721299999999999</v>
      </c>
      <c r="F117" s="39">
        <f t="shared" si="4"/>
        <v>548653.57678839425</v>
      </c>
      <c r="G117" s="39">
        <f t="shared" si="5"/>
        <v>391433.75</v>
      </c>
      <c r="H117" s="39">
        <f t="shared" si="6"/>
        <v>548650.66666666663</v>
      </c>
      <c r="I117" s="51">
        <f t="shared" si="8"/>
        <v>13.2</v>
      </c>
      <c r="J117" s="39">
        <v>15051.59</v>
      </c>
    </row>
    <row r="118" spans="1:10">
      <c r="A118" s="32" t="s">
        <v>69</v>
      </c>
      <c r="B118" s="64">
        <v>10</v>
      </c>
      <c r="C118" s="65">
        <f t="shared" si="7"/>
        <v>14.721299999999999</v>
      </c>
      <c r="D118" s="65">
        <f t="shared" si="7"/>
        <v>14.721299999999999</v>
      </c>
      <c r="E118" s="65">
        <f t="shared" si="7"/>
        <v>14.721299999999999</v>
      </c>
      <c r="F118" s="39">
        <f t="shared" si="4"/>
        <v>8417.158579289644</v>
      </c>
      <c r="G118" s="39">
        <f t="shared" si="5"/>
        <v>7192.7499999999991</v>
      </c>
      <c r="H118" s="39">
        <f t="shared" si="6"/>
        <v>8417.181818181818</v>
      </c>
      <c r="I118" s="51">
        <f t="shared" si="8"/>
        <v>13.2</v>
      </c>
      <c r="J118" s="39">
        <v>301.02999999999997</v>
      </c>
    </row>
    <row r="119" spans="1:10">
      <c r="A119" s="32" t="s">
        <v>70</v>
      </c>
      <c r="B119" s="64">
        <v>10</v>
      </c>
      <c r="C119" s="65">
        <f t="shared" si="7"/>
        <v>14.721299999999999</v>
      </c>
      <c r="D119" s="65">
        <f t="shared" si="7"/>
        <v>14.721299999999999</v>
      </c>
      <c r="E119" s="65">
        <f t="shared" si="7"/>
        <v>14.721299999999999</v>
      </c>
      <c r="F119" s="39">
        <f t="shared" si="4"/>
        <v>90311.155577788901</v>
      </c>
      <c r="G119" s="39">
        <f t="shared" si="5"/>
        <v>60733.25</v>
      </c>
      <c r="H119" s="39">
        <f t="shared" si="6"/>
        <v>90310.969696969696</v>
      </c>
      <c r="I119" s="51">
        <f t="shared" si="8"/>
        <v>13.2</v>
      </c>
      <c r="J119" s="39">
        <v>2558.77</v>
      </c>
    </row>
    <row r="120" spans="1:10">
      <c r="A120" s="32" t="s">
        <v>71</v>
      </c>
      <c r="B120" s="64">
        <v>10</v>
      </c>
      <c r="C120" s="65">
        <f t="shared" si="7"/>
        <v>14.721299999999999</v>
      </c>
      <c r="D120" s="65">
        <f t="shared" si="7"/>
        <v>14.721299999999999</v>
      </c>
      <c r="E120" s="65">
        <f t="shared" si="7"/>
        <v>14.721299999999999</v>
      </c>
      <c r="F120" s="39">
        <f t="shared" si="4"/>
        <v>123770.93546773387</v>
      </c>
      <c r="G120" s="39">
        <f t="shared" si="5"/>
        <v>79926.5</v>
      </c>
      <c r="H120" s="39">
        <f t="shared" si="6"/>
        <v>123770.57575757576</v>
      </c>
      <c r="I120" s="51">
        <f t="shared" si="8"/>
        <v>13.2</v>
      </c>
      <c r="J120" s="39">
        <v>1956.7</v>
      </c>
    </row>
    <row r="121" spans="1:10">
      <c r="A121" s="32" t="s">
        <v>72</v>
      </c>
      <c r="B121" s="64">
        <v>10</v>
      </c>
      <c r="C121" s="65">
        <f t="shared" si="7"/>
        <v>14.721299999999999</v>
      </c>
      <c r="D121" s="65">
        <f t="shared" si="7"/>
        <v>14.721299999999999</v>
      </c>
      <c r="E121" s="65">
        <f t="shared" si="7"/>
        <v>14.721299999999999</v>
      </c>
      <c r="F121" s="39">
        <f t="shared" si="4"/>
        <v>4077.7888944472238</v>
      </c>
      <c r="G121" s="39">
        <f t="shared" si="5"/>
        <v>5968.75</v>
      </c>
      <c r="H121" s="39">
        <f t="shared" si="6"/>
        <v>4077.727272727273</v>
      </c>
      <c r="I121" s="51">
        <f t="shared" si="8"/>
        <v>13.2</v>
      </c>
      <c r="J121" s="39">
        <v>301.02999999999997</v>
      </c>
    </row>
    <row r="122" spans="1:10">
      <c r="A122" s="32" t="s">
        <v>73</v>
      </c>
      <c r="B122" s="64">
        <v>10</v>
      </c>
      <c r="C122" s="65">
        <f t="shared" si="7"/>
        <v>14.721299999999999</v>
      </c>
      <c r="D122" s="65">
        <f t="shared" si="7"/>
        <v>14.721299999999999</v>
      </c>
      <c r="E122" s="65">
        <f t="shared" si="7"/>
        <v>14.721299999999999</v>
      </c>
      <c r="F122" s="39">
        <f t="shared" si="4"/>
        <v>51731.31565782892</v>
      </c>
      <c r="G122" s="39">
        <f t="shared" si="5"/>
        <v>59049.749999999993</v>
      </c>
      <c r="H122" s="39">
        <f t="shared" si="6"/>
        <v>51730.727272727272</v>
      </c>
      <c r="I122" s="51">
        <f t="shared" si="8"/>
        <v>13.2</v>
      </c>
      <c r="J122" s="39">
        <v>1655.67</v>
      </c>
    </row>
    <row r="123" spans="1:10">
      <c r="A123" s="32" t="s">
        <v>74</v>
      </c>
      <c r="B123" s="64">
        <v>10</v>
      </c>
      <c r="C123" s="65">
        <f t="shared" si="7"/>
        <v>14.721299999999999</v>
      </c>
      <c r="D123" s="65">
        <f t="shared" si="7"/>
        <v>14.721299999999999</v>
      </c>
      <c r="E123" s="65">
        <f t="shared" si="7"/>
        <v>14.721299999999999</v>
      </c>
      <c r="F123" s="39">
        <f t="shared" si="4"/>
        <v>33441.22061030515</v>
      </c>
      <c r="G123" s="39">
        <f t="shared" si="5"/>
        <v>42734</v>
      </c>
      <c r="H123" s="39">
        <f t="shared" si="6"/>
        <v>33441.181818181816</v>
      </c>
      <c r="I123" s="51">
        <f t="shared" si="8"/>
        <v>13.2</v>
      </c>
      <c r="J123" s="39">
        <v>2709.27</v>
      </c>
    </row>
    <row r="124" spans="1:10">
      <c r="A124" s="32" t="s">
        <v>75</v>
      </c>
      <c r="B124" s="64">
        <v>10</v>
      </c>
      <c r="C124" s="65">
        <f t="shared" si="7"/>
        <v>14.721299999999999</v>
      </c>
      <c r="D124" s="65">
        <f t="shared" si="7"/>
        <v>14.721299999999999</v>
      </c>
      <c r="E124" s="65">
        <f t="shared" si="7"/>
        <v>14.721299999999999</v>
      </c>
      <c r="F124" s="39">
        <f t="shared" si="4"/>
        <v>170229.51475737867</v>
      </c>
      <c r="G124" s="39">
        <f t="shared" si="5"/>
        <v>145768.75</v>
      </c>
      <c r="H124" s="39">
        <f t="shared" si="6"/>
        <v>170228</v>
      </c>
      <c r="I124" s="51">
        <f t="shared" si="8"/>
        <v>13.2</v>
      </c>
      <c r="J124" s="39">
        <v>6622.68</v>
      </c>
    </row>
    <row r="125" spans="1:10">
      <c r="A125" s="32" t="s">
        <v>76</v>
      </c>
      <c r="B125" s="64">
        <v>10</v>
      </c>
      <c r="C125" s="65">
        <f t="shared" si="7"/>
        <v>14.721299999999999</v>
      </c>
      <c r="D125" s="65">
        <f t="shared" si="7"/>
        <v>14.721299999999999</v>
      </c>
      <c r="E125" s="65">
        <f t="shared" si="7"/>
        <v>14.721299999999999</v>
      </c>
      <c r="F125" s="39">
        <f t="shared" si="4"/>
        <v>0</v>
      </c>
      <c r="G125" s="39">
        <f t="shared" si="5"/>
        <v>0</v>
      </c>
      <c r="H125" s="39">
        <f t="shared" si="6"/>
        <v>0</v>
      </c>
      <c r="I125" s="51">
        <f t="shared" si="8"/>
        <v>13.2</v>
      </c>
      <c r="J125" s="39"/>
    </row>
    <row r="126" spans="1:10">
      <c r="A126" s="32" t="s">
        <v>77</v>
      </c>
      <c r="B126" s="64">
        <v>10</v>
      </c>
      <c r="C126" s="65">
        <f t="shared" si="7"/>
        <v>14.721299999999999</v>
      </c>
      <c r="D126" s="65">
        <f t="shared" si="7"/>
        <v>14.721299999999999</v>
      </c>
      <c r="E126" s="65">
        <f t="shared" si="7"/>
        <v>14.721299999999999</v>
      </c>
      <c r="F126" s="39">
        <f t="shared" si="4"/>
        <v>0</v>
      </c>
      <c r="G126" s="39">
        <f t="shared" si="5"/>
        <v>0</v>
      </c>
      <c r="H126" s="39">
        <f t="shared" si="6"/>
        <v>0</v>
      </c>
      <c r="I126" s="51">
        <f t="shared" si="8"/>
        <v>13.2</v>
      </c>
      <c r="J126" s="39"/>
    </row>
    <row r="127" spans="1:10">
      <c r="A127" s="32" t="s">
        <v>78</v>
      </c>
      <c r="B127" s="64">
        <v>10</v>
      </c>
      <c r="C127" s="65">
        <f t="shared" si="7"/>
        <v>14.721299999999999</v>
      </c>
      <c r="D127" s="65">
        <f t="shared" si="7"/>
        <v>14.721299999999999</v>
      </c>
      <c r="E127" s="65">
        <f t="shared" si="7"/>
        <v>14.721299999999999</v>
      </c>
      <c r="F127" s="39">
        <f t="shared" si="4"/>
        <v>13339.769884942471</v>
      </c>
      <c r="G127" s="39">
        <f t="shared" si="5"/>
        <v>15040</v>
      </c>
      <c r="H127" s="39">
        <f t="shared" si="6"/>
        <v>13339.545454545454</v>
      </c>
      <c r="I127" s="51">
        <f t="shared" si="8"/>
        <v>13.2</v>
      </c>
      <c r="J127" s="39"/>
    </row>
    <row r="128" spans="1:10">
      <c r="A128" s="32" t="s">
        <v>79</v>
      </c>
      <c r="B128" s="64">
        <v>10</v>
      </c>
      <c r="C128" s="65">
        <f t="shared" si="7"/>
        <v>14.721299999999999</v>
      </c>
      <c r="D128" s="65">
        <f t="shared" si="7"/>
        <v>14.721299999999999</v>
      </c>
      <c r="E128" s="65">
        <f t="shared" si="7"/>
        <v>14.721299999999999</v>
      </c>
      <c r="F128" s="39">
        <f t="shared" si="4"/>
        <v>0</v>
      </c>
      <c r="G128" s="39">
        <f t="shared" si="5"/>
        <v>0</v>
      </c>
      <c r="H128" s="39">
        <f t="shared" si="6"/>
        <v>0</v>
      </c>
      <c r="I128" s="51">
        <f t="shared" si="8"/>
        <v>13.2</v>
      </c>
      <c r="J128" s="39"/>
    </row>
    <row r="129" spans="1:10">
      <c r="A129" s="32" t="s">
        <v>80</v>
      </c>
      <c r="B129" s="64">
        <v>10</v>
      </c>
      <c r="C129" s="65">
        <f t="shared" si="7"/>
        <v>14.721299999999999</v>
      </c>
      <c r="D129" s="65">
        <f t="shared" si="7"/>
        <v>14.721299999999999</v>
      </c>
      <c r="E129" s="65">
        <f t="shared" si="7"/>
        <v>14.721299999999999</v>
      </c>
      <c r="F129" s="39">
        <f t="shared" si="4"/>
        <v>60270.485242621311</v>
      </c>
      <c r="G129" s="39">
        <f t="shared" si="5"/>
        <v>43370.5</v>
      </c>
      <c r="H129" s="39">
        <f t="shared" si="6"/>
        <v>60270.15151515152</v>
      </c>
      <c r="I129" s="51">
        <f t="shared" si="8"/>
        <v>13.2</v>
      </c>
      <c r="J129" s="39">
        <v>1806.19</v>
      </c>
    </row>
    <row r="130" spans="1:10">
      <c r="A130" s="32" t="s">
        <v>81</v>
      </c>
      <c r="B130" s="64">
        <v>10</v>
      </c>
      <c r="C130" s="65">
        <f t="shared" si="7"/>
        <v>14.721299999999999</v>
      </c>
      <c r="D130" s="65">
        <f t="shared" si="7"/>
        <v>14.721299999999999</v>
      </c>
      <c r="E130" s="65">
        <f t="shared" si="7"/>
        <v>14.721299999999999</v>
      </c>
      <c r="F130" s="39">
        <f t="shared" si="4"/>
        <v>46052.876438219108</v>
      </c>
      <c r="G130" s="39">
        <f t="shared" si="5"/>
        <v>26276.499999999996</v>
      </c>
      <c r="H130" s="39">
        <f t="shared" si="6"/>
        <v>46052.818181818184</v>
      </c>
      <c r="I130" s="51">
        <f t="shared" si="8"/>
        <v>13.2</v>
      </c>
      <c r="J130" s="39">
        <v>5719.61</v>
      </c>
    </row>
    <row r="131" spans="1:10">
      <c r="A131" s="32" t="s">
        <v>82</v>
      </c>
      <c r="B131" s="64">
        <v>10</v>
      </c>
      <c r="C131" s="65">
        <f t="shared" si="7"/>
        <v>14.721299999999999</v>
      </c>
      <c r="D131" s="65">
        <f t="shared" si="7"/>
        <v>14.721299999999999</v>
      </c>
      <c r="E131" s="65">
        <f t="shared" si="7"/>
        <v>14.721299999999999</v>
      </c>
      <c r="F131" s="39">
        <f t="shared" si="4"/>
        <v>11391.695847923962</v>
      </c>
      <c r="G131" s="39">
        <f t="shared" si="5"/>
        <v>13003.75</v>
      </c>
      <c r="H131" s="39">
        <f t="shared" si="6"/>
        <v>11391.636363636362</v>
      </c>
      <c r="I131" s="51">
        <f t="shared" si="8"/>
        <v>13.2</v>
      </c>
      <c r="J131" s="39">
        <v>301.02999999999997</v>
      </c>
    </row>
    <row r="132" spans="1:10">
      <c r="A132" s="32" t="s">
        <v>83</v>
      </c>
      <c r="B132" s="64">
        <v>10</v>
      </c>
      <c r="C132" s="65">
        <f t="shared" si="7"/>
        <v>14.721299999999999</v>
      </c>
      <c r="D132" s="65">
        <f t="shared" si="7"/>
        <v>14.721299999999999</v>
      </c>
      <c r="E132" s="65">
        <f t="shared" si="7"/>
        <v>14.721299999999999</v>
      </c>
      <c r="F132" s="39">
        <f t="shared" si="4"/>
        <v>11581.84092046023</v>
      </c>
      <c r="G132" s="39">
        <f t="shared" si="5"/>
        <v>15499.75</v>
      </c>
      <c r="H132" s="39">
        <f t="shared" si="6"/>
        <v>11581.848484848484</v>
      </c>
      <c r="I132" s="51">
        <f t="shared" si="8"/>
        <v>13.2</v>
      </c>
      <c r="J132" s="39"/>
    </row>
    <row r="133" spans="1:10">
      <c r="A133" s="32" t="s">
        <v>84</v>
      </c>
      <c r="B133" s="64">
        <v>10</v>
      </c>
      <c r="C133" s="65">
        <f t="shared" si="7"/>
        <v>14.721299999999999</v>
      </c>
      <c r="D133" s="65">
        <f t="shared" si="7"/>
        <v>14.721299999999999</v>
      </c>
      <c r="E133" s="65">
        <f t="shared" si="7"/>
        <v>14.721299999999999</v>
      </c>
      <c r="F133" s="39">
        <f t="shared" si="4"/>
        <v>62891.645822911465</v>
      </c>
      <c r="G133" s="39">
        <f t="shared" si="5"/>
        <v>77607</v>
      </c>
      <c r="H133" s="39">
        <f t="shared" si="6"/>
        <v>62890.727272727265</v>
      </c>
      <c r="I133" s="51">
        <f t="shared" si="8"/>
        <v>13.2</v>
      </c>
      <c r="J133" s="39">
        <v>903.09</v>
      </c>
    </row>
    <row r="134" spans="1:10">
      <c r="A134" s="32" t="s">
        <v>85</v>
      </c>
      <c r="B134" s="64">
        <v>10</v>
      </c>
      <c r="C134" s="65">
        <f t="shared" si="7"/>
        <v>14.721299999999999</v>
      </c>
      <c r="D134" s="65">
        <f t="shared" si="7"/>
        <v>14.721299999999999</v>
      </c>
      <c r="E134" s="65">
        <f t="shared" si="7"/>
        <v>14.721299999999999</v>
      </c>
      <c r="F134" s="39">
        <f t="shared" si="4"/>
        <v>16388.394197098551</v>
      </c>
      <c r="G134" s="39">
        <f t="shared" si="5"/>
        <v>8212.5</v>
      </c>
      <c r="H134" s="39">
        <f t="shared" si="6"/>
        <v>16388.39393939394</v>
      </c>
      <c r="I134" s="51">
        <f t="shared" si="8"/>
        <v>13.2</v>
      </c>
      <c r="J134" s="39">
        <v>451.55</v>
      </c>
    </row>
    <row r="135" spans="1:10">
      <c r="A135" s="32" t="s">
        <v>86</v>
      </c>
      <c r="B135" s="64">
        <v>10</v>
      </c>
      <c r="C135" s="65">
        <f t="shared" si="7"/>
        <v>14.721299999999999</v>
      </c>
      <c r="D135" s="65">
        <f t="shared" si="7"/>
        <v>14.721299999999999</v>
      </c>
      <c r="E135" s="65">
        <f t="shared" si="7"/>
        <v>14.721299999999999</v>
      </c>
      <c r="F135" s="39">
        <f t="shared" si="4"/>
        <v>59640.620310155078</v>
      </c>
      <c r="G135" s="39">
        <f t="shared" si="5"/>
        <v>58104.25</v>
      </c>
      <c r="H135" s="39">
        <f t="shared" si="6"/>
        <v>59640.030303030297</v>
      </c>
      <c r="I135" s="51">
        <f t="shared" si="8"/>
        <v>13.2</v>
      </c>
      <c r="J135" s="39">
        <v>903.09</v>
      </c>
    </row>
    <row r="136" spans="1:10">
      <c r="A136" s="32" t="s">
        <v>87</v>
      </c>
      <c r="B136" s="64">
        <v>10</v>
      </c>
      <c r="C136" s="65">
        <f t="shared" si="7"/>
        <v>14.721299999999999</v>
      </c>
      <c r="D136" s="65">
        <f t="shared" si="7"/>
        <v>14.721299999999999</v>
      </c>
      <c r="E136" s="65">
        <f t="shared" si="7"/>
        <v>14.721299999999999</v>
      </c>
      <c r="F136" s="39">
        <f t="shared" si="4"/>
        <v>179224.61230615308</v>
      </c>
      <c r="G136" s="39">
        <f t="shared" si="5"/>
        <v>167609.75</v>
      </c>
      <c r="H136" s="39">
        <f t="shared" si="6"/>
        <v>179223.63636363635</v>
      </c>
      <c r="I136" s="51">
        <f t="shared" si="8"/>
        <v>13.2</v>
      </c>
      <c r="J136" s="39">
        <v>4063.93</v>
      </c>
    </row>
    <row r="137" spans="1:10">
      <c r="A137" s="32" t="s">
        <v>88</v>
      </c>
      <c r="B137" s="64">
        <v>10</v>
      </c>
      <c r="C137" s="65">
        <f t="shared" si="7"/>
        <v>14.721299999999999</v>
      </c>
      <c r="D137" s="65">
        <f t="shared" si="7"/>
        <v>14.721299999999999</v>
      </c>
      <c r="E137" s="65">
        <f t="shared" si="7"/>
        <v>14.721299999999999</v>
      </c>
      <c r="F137" s="39">
        <f t="shared" si="4"/>
        <v>5995.3476738369191</v>
      </c>
      <c r="G137" s="39">
        <f t="shared" si="5"/>
        <v>7322.7500000000009</v>
      </c>
      <c r="H137" s="39">
        <f t="shared" si="6"/>
        <v>5995.30303030303</v>
      </c>
      <c r="I137" s="51">
        <f t="shared" si="8"/>
        <v>13.2</v>
      </c>
      <c r="J137" s="39"/>
    </row>
    <row r="138" spans="1:10">
      <c r="A138" s="32" t="s">
        <v>89</v>
      </c>
      <c r="B138" s="64">
        <v>10</v>
      </c>
      <c r="C138" s="65">
        <f t="shared" si="7"/>
        <v>14.721299999999999</v>
      </c>
      <c r="D138" s="65">
        <f t="shared" si="7"/>
        <v>14.721299999999999</v>
      </c>
      <c r="E138" s="65">
        <f t="shared" si="7"/>
        <v>14.721299999999999</v>
      </c>
      <c r="F138" s="39">
        <f t="shared" si="4"/>
        <v>6578.6893446723361</v>
      </c>
      <c r="G138" s="39">
        <f t="shared" si="5"/>
        <v>8682.75</v>
      </c>
      <c r="H138" s="39">
        <f t="shared" si="6"/>
        <v>6578.6666666666661</v>
      </c>
      <c r="I138" s="51">
        <f t="shared" si="8"/>
        <v>13.2</v>
      </c>
      <c r="J138" s="39"/>
    </row>
    <row r="139" spans="1:10">
      <c r="A139" s="32" t="s">
        <v>90</v>
      </c>
      <c r="B139" s="64">
        <v>10</v>
      </c>
      <c r="C139" s="65">
        <f t="shared" si="7"/>
        <v>14.721299999999999</v>
      </c>
      <c r="D139" s="65">
        <f t="shared" si="7"/>
        <v>14.721299999999999</v>
      </c>
      <c r="E139" s="65">
        <f t="shared" si="7"/>
        <v>14.721299999999999</v>
      </c>
      <c r="F139" s="39">
        <f t="shared" si="4"/>
        <v>120078.63931965984</v>
      </c>
      <c r="G139" s="39">
        <f t="shared" si="5"/>
        <v>55280.75</v>
      </c>
      <c r="H139" s="39">
        <f t="shared" si="6"/>
        <v>120078.33333333333</v>
      </c>
      <c r="I139" s="51">
        <f t="shared" si="8"/>
        <v>13.2</v>
      </c>
      <c r="J139" s="39"/>
    </row>
    <row r="140" spans="1:10">
      <c r="A140" s="32" t="s">
        <v>91</v>
      </c>
      <c r="B140" s="64">
        <v>10</v>
      </c>
      <c r="C140" s="65">
        <f t="shared" si="7"/>
        <v>14.721299999999999</v>
      </c>
      <c r="D140" s="65">
        <f t="shared" si="7"/>
        <v>14.721299999999999</v>
      </c>
      <c r="E140" s="65">
        <f t="shared" si="7"/>
        <v>14.721299999999999</v>
      </c>
      <c r="F140" s="39">
        <f t="shared" si="4"/>
        <v>0</v>
      </c>
      <c r="G140" s="39">
        <f t="shared" si="5"/>
        <v>0</v>
      </c>
      <c r="H140" s="39">
        <f t="shared" si="6"/>
        <v>0</v>
      </c>
      <c r="I140" s="51">
        <f t="shared" si="8"/>
        <v>13.2</v>
      </c>
      <c r="J140" s="39"/>
    </row>
    <row r="141" spans="1:10">
      <c r="A141" s="32" t="s">
        <v>92</v>
      </c>
      <c r="B141" s="64">
        <v>10</v>
      </c>
      <c r="C141" s="65">
        <f t="shared" si="7"/>
        <v>14.721299999999999</v>
      </c>
      <c r="D141" s="65">
        <f t="shared" si="7"/>
        <v>14.721299999999999</v>
      </c>
      <c r="E141" s="65">
        <f t="shared" si="7"/>
        <v>14.721299999999999</v>
      </c>
      <c r="F141" s="39">
        <f t="shared" si="4"/>
        <v>19880.640320160081</v>
      </c>
      <c r="G141" s="39">
        <f t="shared" si="5"/>
        <v>21987.75</v>
      </c>
      <c r="H141" s="39">
        <f t="shared" si="6"/>
        <v>19880.60606060606</v>
      </c>
      <c r="I141" s="51">
        <f t="shared" si="8"/>
        <v>13.2</v>
      </c>
      <c r="J141" s="39">
        <v>903.1</v>
      </c>
    </row>
    <row r="142" spans="1:10">
      <c r="A142" s="32" t="s">
        <v>93</v>
      </c>
      <c r="B142" s="64">
        <v>10</v>
      </c>
      <c r="C142" s="65">
        <f t="shared" si="7"/>
        <v>14.721299999999999</v>
      </c>
      <c r="D142" s="65">
        <f t="shared" si="7"/>
        <v>14.721299999999999</v>
      </c>
      <c r="E142" s="65">
        <f t="shared" si="7"/>
        <v>14.721299999999999</v>
      </c>
      <c r="F142" s="39">
        <f t="shared" si="4"/>
        <v>2438.2691345672838</v>
      </c>
      <c r="G142" s="39">
        <f t="shared" si="5"/>
        <v>0</v>
      </c>
      <c r="H142" s="39">
        <f t="shared" si="6"/>
        <v>2438.272727272727</v>
      </c>
      <c r="I142" s="51">
        <f t="shared" si="8"/>
        <v>13.2</v>
      </c>
      <c r="J142" s="39"/>
    </row>
    <row r="143" spans="1:10">
      <c r="A143" s="32" t="s">
        <v>94</v>
      </c>
      <c r="B143" s="64">
        <v>10</v>
      </c>
      <c r="C143" s="65">
        <f t="shared" si="7"/>
        <v>14.721299999999999</v>
      </c>
      <c r="D143" s="65">
        <f t="shared" si="7"/>
        <v>14.721299999999999</v>
      </c>
      <c r="E143" s="65">
        <f t="shared" si="7"/>
        <v>14.721299999999999</v>
      </c>
      <c r="F143" s="39">
        <f t="shared" si="4"/>
        <v>0</v>
      </c>
      <c r="G143" s="39">
        <f t="shared" si="5"/>
        <v>0</v>
      </c>
      <c r="H143" s="39">
        <f t="shared" si="6"/>
        <v>0</v>
      </c>
      <c r="I143" s="51">
        <f t="shared" si="8"/>
        <v>13.2</v>
      </c>
      <c r="J143" s="39"/>
    </row>
    <row r="144" spans="1:10">
      <c r="A144" s="32" t="s">
        <v>95</v>
      </c>
      <c r="B144" s="64">
        <v>10</v>
      </c>
      <c r="C144" s="65">
        <f t="shared" si="7"/>
        <v>14.721299999999999</v>
      </c>
      <c r="D144" s="65">
        <f t="shared" si="7"/>
        <v>14.721299999999999</v>
      </c>
      <c r="E144" s="65">
        <f t="shared" si="7"/>
        <v>14.721299999999999</v>
      </c>
      <c r="F144" s="39">
        <f t="shared" si="4"/>
        <v>11254.477238619309</v>
      </c>
      <c r="G144" s="39">
        <f t="shared" si="5"/>
        <v>5530.75</v>
      </c>
      <c r="H144" s="39">
        <f t="shared" si="6"/>
        <v>11254.454545454544</v>
      </c>
      <c r="I144" s="51">
        <f t="shared" si="8"/>
        <v>13.2</v>
      </c>
      <c r="J144" s="39">
        <v>752.58</v>
      </c>
    </row>
    <row r="145" spans="1:10">
      <c r="A145" s="32" t="s">
        <v>96</v>
      </c>
      <c r="B145" s="64">
        <v>10</v>
      </c>
      <c r="C145" s="65">
        <f t="shared" si="7"/>
        <v>14.721299999999999</v>
      </c>
      <c r="D145" s="65">
        <f t="shared" si="7"/>
        <v>14.721299999999999</v>
      </c>
      <c r="E145" s="65">
        <f t="shared" si="7"/>
        <v>14.721299999999999</v>
      </c>
      <c r="F145" s="39">
        <f t="shared" si="4"/>
        <v>13670.985492746373</v>
      </c>
      <c r="G145" s="39">
        <f t="shared" si="5"/>
        <v>19194.75</v>
      </c>
      <c r="H145" s="39">
        <f t="shared" si="6"/>
        <v>13670.757575757576</v>
      </c>
      <c r="I145" s="51">
        <f t="shared" si="8"/>
        <v>13.2</v>
      </c>
      <c r="J145" s="39"/>
    </row>
    <row r="146" spans="1:10">
      <c r="A146" s="32" t="s">
        <v>97</v>
      </c>
      <c r="B146" s="64">
        <v>10</v>
      </c>
      <c r="C146" s="65">
        <f t="shared" si="7"/>
        <v>14.721299999999999</v>
      </c>
      <c r="D146" s="65">
        <f t="shared" si="7"/>
        <v>14.721299999999999</v>
      </c>
      <c r="E146" s="65">
        <f t="shared" si="7"/>
        <v>14.721299999999999</v>
      </c>
      <c r="F146" s="39">
        <f t="shared" si="4"/>
        <v>12565.532766383192</v>
      </c>
      <c r="G146" s="39">
        <f t="shared" si="5"/>
        <v>17135.75</v>
      </c>
      <c r="H146" s="39">
        <f t="shared" si="6"/>
        <v>12565.454545454546</v>
      </c>
      <c r="I146" s="51">
        <f t="shared" si="8"/>
        <v>13.2</v>
      </c>
      <c r="J146" s="39"/>
    </row>
    <row r="147" spans="1:10">
      <c r="A147" s="32" t="s">
        <v>98</v>
      </c>
      <c r="B147" s="64">
        <v>10</v>
      </c>
      <c r="C147" s="65">
        <f t="shared" si="7"/>
        <v>14.721299999999999</v>
      </c>
      <c r="D147" s="65">
        <f t="shared" si="7"/>
        <v>14.721299999999999</v>
      </c>
      <c r="E147" s="65">
        <f t="shared" si="7"/>
        <v>14.721299999999999</v>
      </c>
      <c r="F147" s="39">
        <f t="shared" si="4"/>
        <v>12726.013006503252</v>
      </c>
      <c r="G147" s="39">
        <f t="shared" si="5"/>
        <v>8812</v>
      </c>
      <c r="H147" s="39">
        <f t="shared" si="6"/>
        <v>12725.818181818182</v>
      </c>
      <c r="I147" s="51">
        <f t="shared" si="8"/>
        <v>13.2</v>
      </c>
      <c r="J147" s="39"/>
    </row>
    <row r="148" spans="1:10">
      <c r="A148" s="32" t="s">
        <v>99</v>
      </c>
      <c r="B148" s="64">
        <v>10</v>
      </c>
      <c r="C148" s="65">
        <f t="shared" si="7"/>
        <v>14.721299999999999</v>
      </c>
      <c r="D148" s="65">
        <f t="shared" si="7"/>
        <v>14.721299999999999</v>
      </c>
      <c r="E148" s="65">
        <f t="shared" si="7"/>
        <v>14.721299999999999</v>
      </c>
      <c r="F148" s="39">
        <f t="shared" si="4"/>
        <v>0</v>
      </c>
      <c r="G148" s="39">
        <f t="shared" si="5"/>
        <v>0</v>
      </c>
      <c r="H148" s="39">
        <f t="shared" si="6"/>
        <v>0</v>
      </c>
      <c r="I148" s="51">
        <f t="shared" si="8"/>
        <v>13.2</v>
      </c>
      <c r="J148" s="39"/>
    </row>
    <row r="149" spans="1:10">
      <c r="A149" s="32" t="s">
        <v>100</v>
      </c>
      <c r="B149" s="64">
        <v>10</v>
      </c>
      <c r="C149" s="65">
        <f t="shared" si="7"/>
        <v>14.721299999999999</v>
      </c>
      <c r="D149" s="65">
        <f t="shared" si="7"/>
        <v>14.721299999999999</v>
      </c>
      <c r="E149" s="65">
        <f t="shared" si="7"/>
        <v>14.721299999999999</v>
      </c>
      <c r="F149" s="39">
        <f t="shared" si="4"/>
        <v>3169.7348674337168</v>
      </c>
      <c r="G149" s="39">
        <f t="shared" si="5"/>
        <v>0</v>
      </c>
      <c r="H149" s="39">
        <f t="shared" si="6"/>
        <v>3169.7575757575755</v>
      </c>
      <c r="I149" s="51">
        <f t="shared" si="8"/>
        <v>13.2</v>
      </c>
      <c r="J149" s="39"/>
    </row>
    <row r="150" spans="1:10">
      <c r="A150" s="32" t="s">
        <v>101</v>
      </c>
      <c r="B150" s="64">
        <v>10</v>
      </c>
      <c r="C150" s="65">
        <f t="shared" si="7"/>
        <v>14.721299999999999</v>
      </c>
      <c r="D150" s="65">
        <f t="shared" si="7"/>
        <v>14.721299999999999</v>
      </c>
      <c r="E150" s="65">
        <f t="shared" si="7"/>
        <v>14.721299999999999</v>
      </c>
      <c r="F150" s="39">
        <f t="shared" si="4"/>
        <v>7896.3981990995499</v>
      </c>
      <c r="G150" s="39">
        <f t="shared" si="5"/>
        <v>4777.75</v>
      </c>
      <c r="H150" s="39">
        <f t="shared" si="6"/>
        <v>7896.333333333333</v>
      </c>
      <c r="I150" s="51">
        <f t="shared" si="8"/>
        <v>13.2</v>
      </c>
      <c r="J150" s="39">
        <v>752.58</v>
      </c>
    </row>
    <row r="151" spans="1:10">
      <c r="A151" s="32" t="s">
        <v>102</v>
      </c>
      <c r="B151" s="64">
        <v>10</v>
      </c>
      <c r="C151" s="65">
        <f t="shared" si="7"/>
        <v>14.721299999999999</v>
      </c>
      <c r="D151" s="65">
        <f t="shared" si="7"/>
        <v>14.721299999999999</v>
      </c>
      <c r="E151" s="65">
        <f t="shared" si="7"/>
        <v>14.721299999999999</v>
      </c>
      <c r="F151" s="39">
        <f t="shared" si="4"/>
        <v>19126.113056528266</v>
      </c>
      <c r="G151" s="39">
        <f t="shared" si="5"/>
        <v>14191</v>
      </c>
      <c r="H151" s="39">
        <f t="shared" si="6"/>
        <v>19126.030303030304</v>
      </c>
      <c r="I151" s="51">
        <f t="shared" si="8"/>
        <v>13.2</v>
      </c>
      <c r="J151" s="39"/>
    </row>
    <row r="152" spans="1:10">
      <c r="A152" s="32" t="s">
        <v>103</v>
      </c>
      <c r="B152" s="64">
        <v>10</v>
      </c>
      <c r="C152" s="65">
        <f t="shared" si="7"/>
        <v>14.721299999999999</v>
      </c>
      <c r="D152" s="65">
        <f t="shared" si="7"/>
        <v>14.721299999999999</v>
      </c>
      <c r="E152" s="65">
        <f t="shared" si="7"/>
        <v>14.721299999999999</v>
      </c>
      <c r="F152" s="39">
        <f t="shared" si="4"/>
        <v>0</v>
      </c>
      <c r="G152" s="39">
        <f t="shared" si="5"/>
        <v>0</v>
      </c>
      <c r="H152" s="39">
        <f t="shared" si="6"/>
        <v>0</v>
      </c>
      <c r="I152" s="51">
        <f t="shared" si="8"/>
        <v>13.2</v>
      </c>
      <c r="J152" s="39"/>
    </row>
    <row r="153" spans="1:10">
      <c r="A153" s="32" t="s">
        <v>104</v>
      </c>
      <c r="B153" s="64">
        <v>10</v>
      </c>
      <c r="C153" s="65">
        <f t="shared" si="7"/>
        <v>14.721299999999999</v>
      </c>
      <c r="D153" s="65">
        <f t="shared" si="7"/>
        <v>14.721299999999999</v>
      </c>
      <c r="E153" s="65">
        <f t="shared" si="7"/>
        <v>14.721299999999999</v>
      </c>
      <c r="F153" s="39">
        <f t="shared" si="4"/>
        <v>0</v>
      </c>
      <c r="G153" s="39">
        <f t="shared" si="5"/>
        <v>0</v>
      </c>
      <c r="H153" s="39">
        <f t="shared" si="6"/>
        <v>0</v>
      </c>
      <c r="I153" s="51">
        <f t="shared" si="8"/>
        <v>13.2</v>
      </c>
      <c r="J153" s="39"/>
    </row>
    <row r="154" spans="1:10">
      <c r="A154" s="32" t="s">
        <v>105</v>
      </c>
      <c r="B154" s="64">
        <v>10</v>
      </c>
      <c r="C154" s="65">
        <f t="shared" si="7"/>
        <v>14.721299999999999</v>
      </c>
      <c r="D154" s="65">
        <f t="shared" si="7"/>
        <v>14.721299999999999</v>
      </c>
      <c r="E154" s="65">
        <f t="shared" si="7"/>
        <v>14.721299999999999</v>
      </c>
      <c r="F154" s="39">
        <f t="shared" si="4"/>
        <v>0</v>
      </c>
      <c r="G154" s="39">
        <f t="shared" si="5"/>
        <v>0</v>
      </c>
      <c r="H154" s="39">
        <f t="shared" si="6"/>
        <v>0</v>
      </c>
      <c r="I154" s="51">
        <f t="shared" si="8"/>
        <v>13.2</v>
      </c>
      <c r="J154" s="39"/>
    </row>
    <row r="155" spans="1:10">
      <c r="A155" s="32" t="s">
        <v>106</v>
      </c>
      <c r="B155" s="64">
        <v>10</v>
      </c>
      <c r="C155" s="65">
        <f t="shared" si="7"/>
        <v>14.721299999999999</v>
      </c>
      <c r="D155" s="65">
        <f t="shared" si="7"/>
        <v>14.721299999999999</v>
      </c>
      <c r="E155" s="65">
        <f t="shared" si="7"/>
        <v>14.721299999999999</v>
      </c>
      <c r="F155" s="39">
        <f t="shared" si="4"/>
        <v>68942.021010505254</v>
      </c>
      <c r="G155" s="39">
        <f t="shared" si="5"/>
        <v>51052.25</v>
      </c>
      <c r="H155" s="39">
        <f t="shared" si="6"/>
        <v>68941.696969696961</v>
      </c>
      <c r="I155" s="51">
        <f t="shared" si="8"/>
        <v>13.2</v>
      </c>
      <c r="J155" s="39">
        <v>1806.19</v>
      </c>
    </row>
    <row r="156" spans="1:10">
      <c r="A156" s="32" t="s">
        <v>107</v>
      </c>
      <c r="B156" s="64">
        <v>10</v>
      </c>
      <c r="C156" s="65">
        <f t="shared" si="7"/>
        <v>14.721299999999999</v>
      </c>
      <c r="D156" s="65">
        <f t="shared" si="7"/>
        <v>14.721299999999999</v>
      </c>
      <c r="E156" s="65">
        <f t="shared" si="7"/>
        <v>14.721299999999999</v>
      </c>
      <c r="F156" s="39">
        <f t="shared" si="4"/>
        <v>0</v>
      </c>
      <c r="G156" s="39">
        <f t="shared" si="5"/>
        <v>0</v>
      </c>
      <c r="H156" s="39">
        <f t="shared" si="6"/>
        <v>0</v>
      </c>
      <c r="I156" s="51">
        <f t="shared" si="8"/>
        <v>13.2</v>
      </c>
      <c r="J156" s="39"/>
    </row>
    <row r="157" spans="1:10">
      <c r="A157" s="32" t="s">
        <v>108</v>
      </c>
      <c r="B157" s="64">
        <v>10</v>
      </c>
      <c r="C157" s="65">
        <f t="shared" si="7"/>
        <v>14.721299999999999</v>
      </c>
      <c r="D157" s="65">
        <f t="shared" si="7"/>
        <v>14.721299999999999</v>
      </c>
      <c r="E157" s="65">
        <f t="shared" si="7"/>
        <v>14.721299999999999</v>
      </c>
      <c r="F157" s="39">
        <f t="shared" si="4"/>
        <v>1782.7413706853426</v>
      </c>
      <c r="G157" s="39">
        <f t="shared" si="5"/>
        <v>1782.5</v>
      </c>
      <c r="H157" s="39">
        <f t="shared" si="6"/>
        <v>1782.7272727272725</v>
      </c>
      <c r="I157" s="51">
        <f t="shared" si="8"/>
        <v>13.2</v>
      </c>
      <c r="J157" s="39"/>
    </row>
    <row r="158" spans="1:10">
      <c r="A158" s="32" t="s">
        <v>109</v>
      </c>
      <c r="B158" s="64">
        <v>10</v>
      </c>
      <c r="C158" s="65">
        <f t="shared" si="7"/>
        <v>14.721299999999999</v>
      </c>
      <c r="D158" s="65">
        <f t="shared" si="7"/>
        <v>14.721299999999999</v>
      </c>
      <c r="E158" s="65">
        <f t="shared" si="7"/>
        <v>14.721299999999999</v>
      </c>
      <c r="F158" s="39">
        <f t="shared" si="4"/>
        <v>0</v>
      </c>
      <c r="G158" s="39">
        <f t="shared" si="5"/>
        <v>0</v>
      </c>
      <c r="H158" s="39">
        <f t="shared" si="6"/>
        <v>0</v>
      </c>
      <c r="I158" s="51">
        <f t="shared" si="8"/>
        <v>13.2</v>
      </c>
      <c r="J158" s="39"/>
    </row>
    <row r="159" spans="1:10">
      <c r="A159" s="32" t="s">
        <v>110</v>
      </c>
      <c r="B159" s="64">
        <v>10</v>
      </c>
      <c r="C159" s="65">
        <f t="shared" si="7"/>
        <v>14.721299999999999</v>
      </c>
      <c r="D159" s="65">
        <f t="shared" si="7"/>
        <v>14.721299999999999</v>
      </c>
      <c r="E159" s="65">
        <f t="shared" si="7"/>
        <v>14.721299999999999</v>
      </c>
      <c r="F159" s="39">
        <f t="shared" si="4"/>
        <v>32513.606803401704</v>
      </c>
      <c r="G159" s="39">
        <f t="shared" si="5"/>
        <v>30326</v>
      </c>
      <c r="H159" s="39">
        <f t="shared" si="6"/>
        <v>32513.575757575756</v>
      </c>
      <c r="I159" s="51">
        <f t="shared" si="8"/>
        <v>13.2</v>
      </c>
      <c r="J159" s="39">
        <v>602.05999999999995</v>
      </c>
    </row>
    <row r="160" spans="1:10">
      <c r="A160" s="32" t="s">
        <v>111</v>
      </c>
      <c r="B160" s="64"/>
      <c r="C160" s="65">
        <f>12+1+(0.086*13)</f>
        <v>14.118</v>
      </c>
      <c r="D160" s="65">
        <f t="shared" ref="D160:E161" si="9">12+1+(0.086*13)</f>
        <v>14.118</v>
      </c>
      <c r="E160" s="65">
        <f>12+1+(0.086*13)</f>
        <v>14.118</v>
      </c>
      <c r="F160" s="39">
        <f t="shared" si="4"/>
        <v>0</v>
      </c>
      <c r="G160" s="39">
        <f t="shared" si="5"/>
        <v>0</v>
      </c>
      <c r="H160" s="39">
        <f t="shared" si="6"/>
        <v>0</v>
      </c>
      <c r="I160" s="51"/>
      <c r="J160" s="39"/>
    </row>
    <row r="161" spans="1:10">
      <c r="A161" s="32" t="s">
        <v>112</v>
      </c>
      <c r="B161" s="64"/>
      <c r="C161" s="65">
        <f>12+1+(0.086*13)</f>
        <v>14.118</v>
      </c>
      <c r="D161" s="65">
        <f t="shared" si="9"/>
        <v>14.118</v>
      </c>
      <c r="E161" s="65">
        <f t="shared" si="9"/>
        <v>14.118</v>
      </c>
      <c r="F161" s="39">
        <f t="shared" si="4"/>
        <v>0</v>
      </c>
      <c r="G161" s="39">
        <f t="shared" si="5"/>
        <v>1354.5</v>
      </c>
      <c r="H161" s="39">
        <f t="shared" si="6"/>
        <v>0</v>
      </c>
      <c r="I161" s="51"/>
      <c r="J161" s="39">
        <v>1655.67</v>
      </c>
    </row>
    <row r="162" spans="1:10">
      <c r="A162" s="52" t="s">
        <v>116</v>
      </c>
      <c r="B162" s="64"/>
      <c r="C162" s="65">
        <f>12+1+0.27+(0.086*13)</f>
        <v>14.388</v>
      </c>
      <c r="D162" s="65">
        <f t="shared" ref="D162:E163" si="10">12+1+0.27+(0.086*13)</f>
        <v>14.388</v>
      </c>
      <c r="E162" s="65">
        <f t="shared" si="10"/>
        <v>14.388</v>
      </c>
      <c r="F162" s="39">
        <f>F75/0.1999</f>
        <v>40215.207603801908</v>
      </c>
      <c r="G162" s="39">
        <f>G75/4%</f>
        <v>147940.25</v>
      </c>
      <c r="H162" s="39">
        <f>H75/0.33</f>
        <v>40215.666666666664</v>
      </c>
      <c r="I162" s="51"/>
      <c r="J162" s="39"/>
    </row>
    <row r="163" spans="1:10">
      <c r="A163" s="36" t="s">
        <v>117</v>
      </c>
      <c r="B163" s="64"/>
      <c r="C163" s="65">
        <f>12+1+0.27+(0.086*13)</f>
        <v>14.388</v>
      </c>
      <c r="D163" s="65">
        <f t="shared" si="10"/>
        <v>14.388</v>
      </c>
      <c r="E163" s="65">
        <f>12+1+0.27+(0.086*13)</f>
        <v>14.388</v>
      </c>
      <c r="F163" s="39">
        <f>F76/0.1999</f>
        <v>656855.1775887945</v>
      </c>
      <c r="G163" s="39">
        <f>G76/4%</f>
        <v>1186539.5</v>
      </c>
      <c r="H163" s="39">
        <f>H76/0.33</f>
        <v>656858.75757575757</v>
      </c>
      <c r="I163" s="51"/>
      <c r="J163" s="39"/>
    </row>
    <row r="164" spans="1:10">
      <c r="A164" s="31" t="s">
        <v>123</v>
      </c>
      <c r="B164" s="39">
        <f>SUM(B105:B163)</f>
        <v>550</v>
      </c>
      <c r="C164" s="39">
        <f t="shared" ref="C164:I164" si="11">SUM(C105:C163)</f>
        <v>866.68350000000066</v>
      </c>
      <c r="D164" s="39">
        <f t="shared" si="11"/>
        <v>866.68350000000066</v>
      </c>
      <c r="E164" s="39">
        <f t="shared" si="11"/>
        <v>866.68350000000066</v>
      </c>
      <c r="F164" s="39">
        <f t="shared" si="11"/>
        <v>3055999.9999999991</v>
      </c>
      <c r="G164" s="39">
        <f t="shared" si="11"/>
        <v>3288886.75</v>
      </c>
      <c r="H164" s="39">
        <f t="shared" si="11"/>
        <v>3055990.4848484853</v>
      </c>
      <c r="I164" s="39">
        <f t="shared" si="11"/>
        <v>726.00000000000045</v>
      </c>
      <c r="J164" s="39">
        <f>SUM(J105:J163)</f>
        <v>77365.169999999984</v>
      </c>
    </row>
    <row r="165" spans="1:10">
      <c r="A165" s="34" t="s">
        <v>124</v>
      </c>
      <c r="E165" s="38"/>
      <c r="F165" s="38"/>
      <c r="G165" s="38"/>
      <c r="H165" s="38"/>
      <c r="I165" s="38"/>
      <c r="J165" s="38">
        <f>77365.17-J164</f>
        <v>0</v>
      </c>
    </row>
    <row r="174" spans="1:10">
      <c r="A174" s="34"/>
      <c r="E174" s="38"/>
      <c r="F174" s="38"/>
      <c r="G174" s="38"/>
      <c r="H174" s="38"/>
      <c r="I174" s="38"/>
      <c r="J174" s="38"/>
    </row>
    <row r="175" spans="1:10">
      <c r="A175" s="34"/>
      <c r="E175" s="38"/>
      <c r="F175" s="38"/>
      <c r="G175" s="38"/>
      <c r="H175" s="38"/>
      <c r="I175" s="38"/>
      <c r="J175" s="38"/>
    </row>
    <row r="176" spans="1:10">
      <c r="A176" s="34"/>
      <c r="E176" s="38"/>
      <c r="F176" s="38"/>
      <c r="G176" s="38"/>
      <c r="H176" s="38"/>
      <c r="I176" s="38"/>
      <c r="J176" s="38"/>
    </row>
    <row r="177" spans="1:10">
      <c r="A177" s="34"/>
      <c r="E177" s="38"/>
      <c r="F177" s="38"/>
      <c r="G177" s="38"/>
      <c r="H177" s="38"/>
      <c r="I177" s="38"/>
      <c r="J177" s="38"/>
    </row>
    <row r="178" spans="1:10">
      <c r="A178" s="34"/>
      <c r="E178" s="38"/>
      <c r="F178" s="38"/>
      <c r="G178" s="38"/>
      <c r="H178" s="38"/>
      <c r="I178" s="38"/>
      <c r="J178" s="38"/>
    </row>
    <row r="179" spans="1:10">
      <c r="A179" s="34"/>
      <c r="E179" s="38"/>
      <c r="F179" s="38"/>
      <c r="G179" s="38"/>
      <c r="H179" s="38"/>
      <c r="I179" s="38"/>
      <c r="J179" s="38"/>
    </row>
    <row r="180" spans="1:10">
      <c r="A180" s="34"/>
      <c r="E180" s="38"/>
      <c r="F180" s="38"/>
      <c r="G180" s="38"/>
      <c r="H180" s="38"/>
      <c r="I180" s="38"/>
      <c r="J180" s="38"/>
    </row>
    <row r="181" spans="1:10">
      <c r="A181" s="34"/>
      <c r="E181" s="38"/>
      <c r="F181" s="38"/>
      <c r="G181" s="38"/>
      <c r="H181" s="38"/>
      <c r="I181" s="38"/>
      <c r="J181" s="38"/>
    </row>
    <row r="182" spans="1:10">
      <c r="A182" s="34"/>
      <c r="E182" s="38"/>
      <c r="F182" s="38"/>
      <c r="G182" s="38"/>
      <c r="H182" s="38"/>
      <c r="I182" s="38"/>
      <c r="J182" s="38"/>
    </row>
    <row r="183" spans="1:10">
      <c r="A183" s="34"/>
      <c r="E183" s="38"/>
      <c r="F183" s="38"/>
      <c r="G183" s="38"/>
      <c r="H183" s="38"/>
      <c r="I183" s="38"/>
      <c r="J183" s="38"/>
    </row>
    <row r="184" spans="1:10">
      <c r="A184" s="34"/>
      <c r="E184" s="38"/>
      <c r="F184" s="38"/>
      <c r="G184" s="38"/>
      <c r="H184" s="38"/>
      <c r="I184" s="38"/>
      <c r="J184" s="38"/>
    </row>
    <row r="185" spans="1:10">
      <c r="A185" s="34"/>
      <c r="E185" s="38"/>
      <c r="F185" s="38"/>
      <c r="G185" s="38"/>
      <c r="H185" s="38"/>
      <c r="I185" s="38"/>
      <c r="J185" s="38"/>
    </row>
    <row r="186" spans="1:10">
      <c r="A186" s="34"/>
      <c r="E186" s="38"/>
      <c r="F186" s="38"/>
      <c r="G186" s="38"/>
      <c r="H186" s="38"/>
      <c r="I186" s="38"/>
      <c r="J186" s="38"/>
    </row>
    <row r="187" spans="1:10">
      <c r="A187" s="34"/>
      <c r="E187" s="38"/>
      <c r="F187" s="38"/>
      <c r="G187" s="38"/>
      <c r="H187" s="38"/>
      <c r="I187" s="38"/>
      <c r="J187" s="38"/>
    </row>
    <row r="188" spans="1:10">
      <c r="A188" s="34"/>
      <c r="E188" s="38"/>
      <c r="F188" s="38"/>
      <c r="G188" s="38"/>
      <c r="H188" s="38"/>
      <c r="I188" s="38"/>
      <c r="J188" s="38"/>
    </row>
    <row r="189" spans="1:10">
      <c r="A189" s="34"/>
      <c r="E189" s="38"/>
      <c r="F189" s="38"/>
      <c r="G189" s="38"/>
      <c r="H189" s="38"/>
      <c r="I189" s="38"/>
      <c r="J189" s="38"/>
    </row>
    <row r="190" spans="1:10">
      <c r="A190" s="34"/>
      <c r="E190" s="38"/>
      <c r="F190" s="38"/>
      <c r="G190" s="38"/>
      <c r="H190" s="38"/>
      <c r="I190" s="38"/>
      <c r="J190" s="38"/>
    </row>
    <row r="191" spans="1:10">
      <c r="C191" s="34" t="s">
        <v>125</v>
      </c>
    </row>
    <row r="192" spans="1:10">
      <c r="B192" s="31" t="s">
        <v>126</v>
      </c>
      <c r="C192" s="42" t="s">
        <v>127</v>
      </c>
      <c r="E192" s="50"/>
      <c r="F192" s="66">
        <v>0.19989999999999999</v>
      </c>
      <c r="G192" s="66">
        <v>0.04</v>
      </c>
      <c r="H192" s="66">
        <v>0.4</v>
      </c>
      <c r="I192" s="42" t="s">
        <v>128</v>
      </c>
    </row>
    <row r="193" spans="1:11" s="53" customFormat="1">
      <c r="A193" s="36" t="s">
        <v>46</v>
      </c>
      <c r="B193" s="36" t="s">
        <v>47</v>
      </c>
      <c r="C193" s="51" t="s">
        <v>48</v>
      </c>
      <c r="D193" s="51" t="s">
        <v>49</v>
      </c>
      <c r="E193" s="36" t="s">
        <v>50</v>
      </c>
      <c r="F193" s="36" t="s">
        <v>51</v>
      </c>
      <c r="G193" s="36" t="s">
        <v>52</v>
      </c>
      <c r="H193" s="36" t="s">
        <v>53</v>
      </c>
      <c r="I193" s="36" t="s">
        <v>54</v>
      </c>
      <c r="J193" s="52" t="s">
        <v>55</v>
      </c>
    </row>
    <row r="194" spans="1:11">
      <c r="A194" s="32" t="s">
        <v>56</v>
      </c>
      <c r="B194" s="39">
        <f>B14*B105</f>
        <v>0</v>
      </c>
      <c r="C194" s="39">
        <f>(C14-J105)*C105</f>
        <v>1507353.948936</v>
      </c>
      <c r="D194" s="39">
        <f t="shared" ref="D194:E209" si="12">D14*D105</f>
        <v>21279.050297999998</v>
      </c>
      <c r="E194" s="39">
        <f t="shared" si="12"/>
        <v>119607.029388</v>
      </c>
      <c r="F194" s="39">
        <f>($F$192*F105)*(12+1+0.27+(0.086*13))</f>
        <v>130120.61172</v>
      </c>
      <c r="G194" s="39">
        <f t="shared" ref="G194:G248" si="13">($G$192*G105)*12</f>
        <v>6898.32</v>
      </c>
      <c r="H194" s="39">
        <f>($H$192*H105)*(12+1+0.27+(0.086*13))</f>
        <v>260371.00320000001</v>
      </c>
      <c r="I194" s="39">
        <f t="shared" ref="I194:I250" si="14">I14*I105</f>
        <v>43469.975999999995</v>
      </c>
      <c r="J194" s="39">
        <f>SUM(B194:I194)</f>
        <v>2089099.9395419999</v>
      </c>
    </row>
    <row r="195" spans="1:11">
      <c r="A195" s="32" t="s">
        <v>57</v>
      </c>
      <c r="B195" s="39">
        <f t="shared" ref="B195:B250" si="15">B15*B106</f>
        <v>96127.2</v>
      </c>
      <c r="C195" s="39">
        <f t="shared" ref="C195:C249" si="16">(C15-J106)*C106</f>
        <v>0</v>
      </c>
      <c r="D195" s="39">
        <f t="shared" si="12"/>
        <v>0</v>
      </c>
      <c r="E195" s="39">
        <f t="shared" si="12"/>
        <v>29717.888309999998</v>
      </c>
      <c r="F195" s="39">
        <f t="shared" ref="F195:F250" si="17">($F$192*F106)*(12+1+0.27+(0.086*13))</f>
        <v>0</v>
      </c>
      <c r="G195" s="39">
        <f t="shared" si="13"/>
        <v>0</v>
      </c>
      <c r="H195" s="39">
        <f t="shared" ref="H195:H250" si="18">($H$192*H106)*(12+1+0.27+(0.086*13))</f>
        <v>0</v>
      </c>
      <c r="I195" s="39">
        <f t="shared" si="14"/>
        <v>0</v>
      </c>
      <c r="J195" s="39">
        <f t="shared" ref="J195:J202" si="19">SUM(B195:I195)</f>
        <v>125845.08830999999</v>
      </c>
    </row>
    <row r="196" spans="1:11">
      <c r="A196" s="32" t="s">
        <v>58</v>
      </c>
      <c r="B196" s="39">
        <f t="shared" si="15"/>
        <v>0</v>
      </c>
      <c r="C196" s="39">
        <f t="shared" si="16"/>
        <v>484656.257943</v>
      </c>
      <c r="D196" s="39">
        <f t="shared" si="12"/>
        <v>0</v>
      </c>
      <c r="E196" s="39">
        <f t="shared" si="12"/>
        <v>32091.697934999997</v>
      </c>
      <c r="F196" s="39">
        <f t="shared" si="17"/>
        <v>56381.823960000002</v>
      </c>
      <c r="G196" s="39">
        <f t="shared" si="13"/>
        <v>7267.7999999999993</v>
      </c>
      <c r="H196" s="39">
        <f t="shared" si="18"/>
        <v>112819.01119999999</v>
      </c>
      <c r="I196" s="39">
        <f t="shared" si="14"/>
        <v>23710.895999999997</v>
      </c>
      <c r="J196" s="39">
        <f t="shared" si="19"/>
        <v>716927.4870379999</v>
      </c>
    </row>
    <row r="197" spans="1:11">
      <c r="A197" s="32" t="s">
        <v>59</v>
      </c>
      <c r="B197" s="39">
        <f t="shared" si="15"/>
        <v>0</v>
      </c>
      <c r="C197" s="39">
        <f t="shared" si="16"/>
        <v>1201752.1268279999</v>
      </c>
      <c r="D197" s="39">
        <f t="shared" si="12"/>
        <v>11496.157595999999</v>
      </c>
      <c r="E197" s="39">
        <f t="shared" si="12"/>
        <v>30177.928934999996</v>
      </c>
      <c r="F197" s="39">
        <f t="shared" si="17"/>
        <v>179322.10428</v>
      </c>
      <c r="G197" s="39">
        <f t="shared" si="13"/>
        <v>27795.840000000004</v>
      </c>
      <c r="H197" s="39">
        <f t="shared" si="18"/>
        <v>358822.4192</v>
      </c>
      <c r="I197" s="39">
        <f t="shared" si="14"/>
        <v>75084.504000000001</v>
      </c>
      <c r="J197" s="39">
        <f t="shared" si="19"/>
        <v>1884451.0808389999</v>
      </c>
    </row>
    <row r="198" spans="1:11">
      <c r="A198" s="32" t="s">
        <v>60</v>
      </c>
      <c r="B198" s="39">
        <f t="shared" si="15"/>
        <v>48766</v>
      </c>
      <c r="C198" s="39">
        <f t="shared" si="16"/>
        <v>0</v>
      </c>
      <c r="D198" s="39">
        <f t="shared" si="12"/>
        <v>0</v>
      </c>
      <c r="E198" s="39">
        <f t="shared" si="12"/>
        <v>15075.788903999999</v>
      </c>
      <c r="F198" s="39">
        <f t="shared" si="17"/>
        <v>0</v>
      </c>
      <c r="G198" s="39">
        <f t="shared" si="13"/>
        <v>0</v>
      </c>
      <c r="H198" s="39">
        <f t="shared" si="18"/>
        <v>0</v>
      </c>
      <c r="I198" s="39">
        <f t="shared" si="14"/>
        <v>0</v>
      </c>
      <c r="J198" s="39">
        <f t="shared" si="19"/>
        <v>63841.788904000001</v>
      </c>
    </row>
    <row r="199" spans="1:11">
      <c r="A199" s="32" t="s">
        <v>61</v>
      </c>
      <c r="B199" s="39">
        <f t="shared" si="15"/>
        <v>0</v>
      </c>
      <c r="C199" s="39">
        <f t="shared" si="16"/>
        <v>1367305.0695809999</v>
      </c>
      <c r="D199" s="39">
        <f t="shared" si="12"/>
        <v>0</v>
      </c>
      <c r="E199" s="39">
        <f t="shared" si="12"/>
        <v>20690.78715</v>
      </c>
      <c r="F199" s="39">
        <f t="shared" si="17"/>
        <v>205336.03992000004</v>
      </c>
      <c r="G199" s="39">
        <f t="shared" si="13"/>
        <v>40904.520000000004</v>
      </c>
      <c r="H199" s="39">
        <f t="shared" si="18"/>
        <v>410875.23840000003</v>
      </c>
      <c r="I199" s="39">
        <f t="shared" si="14"/>
        <v>94843.583999999988</v>
      </c>
      <c r="J199" s="39">
        <f t="shared" si="19"/>
        <v>2139955.2390509997</v>
      </c>
    </row>
    <row r="200" spans="1:11">
      <c r="A200" s="32" t="s">
        <v>62</v>
      </c>
      <c r="B200" s="39">
        <f t="shared" si="15"/>
        <v>0</v>
      </c>
      <c r="C200" s="39">
        <f t="shared" si="16"/>
        <v>1824110.5416929999</v>
      </c>
      <c r="D200" s="39">
        <f t="shared" si="12"/>
        <v>0</v>
      </c>
      <c r="E200" s="39">
        <f t="shared" si="12"/>
        <v>20690.934363</v>
      </c>
      <c r="F200" s="39">
        <f t="shared" si="17"/>
        <v>298657.75895999995</v>
      </c>
      <c r="G200" s="39">
        <f t="shared" si="13"/>
        <v>34004.76</v>
      </c>
      <c r="H200" s="39">
        <f t="shared" si="18"/>
        <v>597611.0736</v>
      </c>
      <c r="I200" s="39">
        <f t="shared" si="14"/>
        <v>114602.664</v>
      </c>
      <c r="J200" s="39">
        <f t="shared" si="19"/>
        <v>2889677.7326159999</v>
      </c>
    </row>
    <row r="201" spans="1:11">
      <c r="A201" s="32" t="s">
        <v>63</v>
      </c>
      <c r="B201" s="39">
        <f t="shared" si="15"/>
        <v>0</v>
      </c>
      <c r="C201" s="39">
        <f t="shared" si="16"/>
        <v>355764.79907099996</v>
      </c>
      <c r="D201" s="39">
        <f t="shared" si="12"/>
        <v>3910.271706</v>
      </c>
      <c r="E201" s="39">
        <f t="shared" si="12"/>
        <v>51517.778201999994</v>
      </c>
      <c r="F201" s="39">
        <f t="shared" si="17"/>
        <v>20988.351119999999</v>
      </c>
      <c r="G201" s="39">
        <f t="shared" si="13"/>
        <v>2533.6800000000003</v>
      </c>
      <c r="H201" s="39">
        <f t="shared" si="18"/>
        <v>41997.264000000003</v>
      </c>
      <c r="I201" s="39">
        <f t="shared" si="14"/>
        <v>15807.263999999999</v>
      </c>
      <c r="J201" s="39">
        <f t="shared" si="19"/>
        <v>492519.40809900005</v>
      </c>
    </row>
    <row r="202" spans="1:11">
      <c r="A202" s="32" t="s">
        <v>64</v>
      </c>
      <c r="B202" s="39">
        <f t="shared" si="15"/>
        <v>0</v>
      </c>
      <c r="C202" s="39">
        <f t="shared" si="16"/>
        <v>106250.83553699999</v>
      </c>
      <c r="D202" s="39">
        <f t="shared" si="12"/>
        <v>0</v>
      </c>
      <c r="E202" s="39">
        <f t="shared" si="12"/>
        <v>6462.6507000000001</v>
      </c>
      <c r="F202" s="39">
        <f t="shared" si="17"/>
        <v>9292.0581600000005</v>
      </c>
      <c r="G202" s="39">
        <f t="shared" si="13"/>
        <v>0</v>
      </c>
      <c r="H202" s="39">
        <f t="shared" si="18"/>
        <v>18593.481600000003</v>
      </c>
      <c r="I202" s="39">
        <f t="shared" si="14"/>
        <v>3951.8159999999998</v>
      </c>
      <c r="J202" s="39">
        <f t="shared" si="19"/>
        <v>144550.84199699998</v>
      </c>
      <c r="K202" s="58"/>
    </row>
    <row r="203" spans="1:11">
      <c r="A203" s="32" t="s">
        <v>65</v>
      </c>
      <c r="B203" s="39">
        <f t="shared" si="15"/>
        <v>0</v>
      </c>
      <c r="C203" s="39">
        <f t="shared" si="16"/>
        <v>4065395.0493419995</v>
      </c>
      <c r="D203" s="39">
        <f t="shared" si="12"/>
        <v>10515.719016000001</v>
      </c>
      <c r="E203" s="39">
        <f t="shared" si="12"/>
        <v>43308.739682999993</v>
      </c>
      <c r="F203" s="39">
        <f t="shared" si="17"/>
        <v>570098.74548000004</v>
      </c>
      <c r="G203" s="39">
        <f t="shared" si="13"/>
        <v>108317.63999999998</v>
      </c>
      <c r="H203" s="39">
        <f t="shared" si="18"/>
        <v>1140758.0736</v>
      </c>
      <c r="I203" s="39">
        <f t="shared" si="14"/>
        <v>320097.09599999996</v>
      </c>
      <c r="J203" s="39">
        <f>SUM(B203:I203)</f>
        <v>6258491.0631209984</v>
      </c>
    </row>
    <row r="204" spans="1:11">
      <c r="A204" s="32" t="s">
        <v>66</v>
      </c>
      <c r="B204" s="39">
        <f t="shared" si="15"/>
        <v>161547.90000000002</v>
      </c>
      <c r="C204" s="39">
        <f t="shared" si="16"/>
        <v>0</v>
      </c>
      <c r="D204" s="39">
        <f t="shared" si="12"/>
        <v>0</v>
      </c>
      <c r="E204" s="39">
        <f t="shared" si="12"/>
        <v>49941.568610999995</v>
      </c>
      <c r="F204" s="39">
        <f t="shared" si="17"/>
        <v>0</v>
      </c>
      <c r="G204" s="39">
        <f t="shared" si="13"/>
        <v>0</v>
      </c>
      <c r="H204" s="39">
        <f t="shared" si="18"/>
        <v>0</v>
      </c>
      <c r="I204" s="39">
        <f t="shared" si="14"/>
        <v>0</v>
      </c>
      <c r="J204" s="39">
        <f t="shared" ref="J204:J217" si="20">SUM(B204:I204)</f>
        <v>211489.46861100002</v>
      </c>
    </row>
    <row r="205" spans="1:11">
      <c r="A205" s="32" t="s">
        <v>67</v>
      </c>
      <c r="B205" s="39">
        <f t="shared" si="15"/>
        <v>0</v>
      </c>
      <c r="C205" s="39">
        <f t="shared" si="16"/>
        <v>345452.23399499996</v>
      </c>
      <c r="D205" s="39">
        <f t="shared" si="12"/>
        <v>0</v>
      </c>
      <c r="E205" s="39">
        <f t="shared" si="12"/>
        <v>0</v>
      </c>
      <c r="F205" s="39">
        <f t="shared" si="17"/>
        <v>50992.079160000001</v>
      </c>
      <c r="G205" s="39">
        <f t="shared" si="13"/>
        <v>7210.68</v>
      </c>
      <c r="H205" s="39">
        <f t="shared" si="18"/>
        <v>102034.28959999999</v>
      </c>
      <c r="I205" s="39">
        <f t="shared" si="14"/>
        <v>19759.080000000002</v>
      </c>
      <c r="J205" s="39">
        <f t="shared" si="20"/>
        <v>525448.36275499989</v>
      </c>
    </row>
    <row r="206" spans="1:11">
      <c r="A206" s="32" t="s">
        <v>68</v>
      </c>
      <c r="B206" s="39">
        <f t="shared" si="15"/>
        <v>0</v>
      </c>
      <c r="C206" s="39">
        <f t="shared" si="16"/>
        <v>10213121.075157</v>
      </c>
      <c r="D206" s="39">
        <f t="shared" si="12"/>
        <v>0</v>
      </c>
      <c r="E206" s="39">
        <f t="shared" si="12"/>
        <v>0</v>
      </c>
      <c r="F206" s="39">
        <f t="shared" si="17"/>
        <v>1578016.1298</v>
      </c>
      <c r="G206" s="39">
        <f t="shared" si="13"/>
        <v>187888.2</v>
      </c>
      <c r="H206" s="39">
        <f t="shared" si="18"/>
        <v>3157594.3168000001</v>
      </c>
      <c r="I206" s="39">
        <f t="shared" si="14"/>
        <v>616483.29599999997</v>
      </c>
      <c r="J206" s="39">
        <f t="shared" si="20"/>
        <v>15753103.017756999</v>
      </c>
    </row>
    <row r="207" spans="1:11">
      <c r="A207" s="32" t="s">
        <v>69</v>
      </c>
      <c r="B207" s="39">
        <f t="shared" si="15"/>
        <v>0</v>
      </c>
      <c r="C207" s="39">
        <f t="shared" si="16"/>
        <v>203685.52614299997</v>
      </c>
      <c r="D207" s="39">
        <f t="shared" si="12"/>
        <v>0</v>
      </c>
      <c r="E207" s="39">
        <f t="shared" si="12"/>
        <v>0</v>
      </c>
      <c r="F207" s="39">
        <f t="shared" si="17"/>
        <v>24209.104919999994</v>
      </c>
      <c r="G207" s="39">
        <f t="shared" si="13"/>
        <v>3452.5199999999995</v>
      </c>
      <c r="H207" s="39">
        <f t="shared" si="18"/>
        <v>48442.5648</v>
      </c>
      <c r="I207" s="39">
        <f t="shared" si="14"/>
        <v>7903.6319999999996</v>
      </c>
      <c r="J207" s="39">
        <f t="shared" si="20"/>
        <v>287693.34786299994</v>
      </c>
    </row>
    <row r="208" spans="1:11">
      <c r="A208" s="32" t="s">
        <v>70</v>
      </c>
      <c r="B208" s="39">
        <f t="shared" si="15"/>
        <v>0</v>
      </c>
      <c r="C208" s="39">
        <f t="shared" si="16"/>
        <v>1855676.9836439998</v>
      </c>
      <c r="D208" s="39">
        <f t="shared" si="12"/>
        <v>0</v>
      </c>
      <c r="E208" s="39">
        <f t="shared" si="12"/>
        <v>0</v>
      </c>
      <c r="F208" s="39">
        <f t="shared" si="17"/>
        <v>259749.44160000002</v>
      </c>
      <c r="G208" s="39">
        <f t="shared" si="13"/>
        <v>29151.96</v>
      </c>
      <c r="H208" s="39">
        <f t="shared" si="18"/>
        <v>519757.69280000002</v>
      </c>
      <c r="I208" s="39">
        <f t="shared" si="14"/>
        <v>118554.48</v>
      </c>
      <c r="J208" s="39">
        <f t="shared" si="20"/>
        <v>2782890.5580439996</v>
      </c>
    </row>
    <row r="209" spans="1:10">
      <c r="A209" s="32" t="s">
        <v>71</v>
      </c>
      <c r="B209" s="39">
        <f t="shared" si="15"/>
        <v>0</v>
      </c>
      <c r="C209" s="39">
        <f t="shared" si="16"/>
        <v>2238346.4305949998</v>
      </c>
      <c r="D209" s="39">
        <f t="shared" si="12"/>
        <v>5543.7471539999997</v>
      </c>
      <c r="E209" s="39">
        <f t="shared" si="12"/>
        <v>14552.446688999999</v>
      </c>
      <c r="F209" s="39">
        <f t="shared" si="17"/>
        <v>355985.16227999999</v>
      </c>
      <c r="G209" s="39">
        <f t="shared" si="13"/>
        <v>38364.720000000001</v>
      </c>
      <c r="H209" s="39">
        <f t="shared" si="18"/>
        <v>712324.41760000004</v>
      </c>
      <c r="I209" s="39">
        <f t="shared" si="14"/>
        <v>130409.928</v>
      </c>
      <c r="J209" s="39">
        <f t="shared" si="20"/>
        <v>3495526.8523179996</v>
      </c>
    </row>
    <row r="210" spans="1:10">
      <c r="A210" s="32" t="s">
        <v>72</v>
      </c>
      <c r="B210" s="39">
        <f t="shared" si="15"/>
        <v>0</v>
      </c>
      <c r="C210" s="39">
        <f t="shared" si="16"/>
        <v>83439.592334999994</v>
      </c>
      <c r="D210" s="39">
        <f t="shared" ref="D210:E225" si="21">D30*D121</f>
        <v>0</v>
      </c>
      <c r="E210" s="39">
        <f t="shared" si="21"/>
        <v>0</v>
      </c>
      <c r="F210" s="39">
        <f t="shared" si="17"/>
        <v>11728.378199999999</v>
      </c>
      <c r="G210" s="39">
        <f t="shared" si="13"/>
        <v>2865</v>
      </c>
      <c r="H210" s="39">
        <f t="shared" si="18"/>
        <v>23468.136000000002</v>
      </c>
      <c r="I210" s="39">
        <f t="shared" si="14"/>
        <v>7903.6319999999996</v>
      </c>
      <c r="J210" s="39">
        <f t="shared" si="20"/>
        <v>129404.738535</v>
      </c>
    </row>
    <row r="211" spans="1:10">
      <c r="A211" s="32" t="s">
        <v>73</v>
      </c>
      <c r="B211" s="39">
        <f t="shared" si="15"/>
        <v>0</v>
      </c>
      <c r="C211" s="39">
        <f t="shared" si="16"/>
        <v>1053814.2500160001</v>
      </c>
      <c r="D211" s="39">
        <f t="shared" si="21"/>
        <v>0</v>
      </c>
      <c r="E211" s="39">
        <f t="shared" si="21"/>
        <v>0</v>
      </c>
      <c r="F211" s="39">
        <f t="shared" si="17"/>
        <v>148787.60292</v>
      </c>
      <c r="G211" s="39">
        <f t="shared" si="13"/>
        <v>28343.879999999997</v>
      </c>
      <c r="H211" s="39">
        <f t="shared" si="18"/>
        <v>297720.68160000001</v>
      </c>
      <c r="I211" s="39">
        <f t="shared" si="14"/>
        <v>118554.48</v>
      </c>
      <c r="J211" s="39">
        <f t="shared" si="20"/>
        <v>1647220.894536</v>
      </c>
    </row>
    <row r="212" spans="1:10">
      <c r="A212" s="32" t="s">
        <v>74</v>
      </c>
      <c r="B212" s="39">
        <f t="shared" si="15"/>
        <v>0</v>
      </c>
      <c r="C212" s="39">
        <f t="shared" si="16"/>
        <v>774132.66245700011</v>
      </c>
      <c r="D212" s="39">
        <f t="shared" si="21"/>
        <v>2877.1308719999997</v>
      </c>
      <c r="E212" s="39">
        <f t="shared" si="21"/>
        <v>7552.9101779999992</v>
      </c>
      <c r="F212" s="39">
        <f t="shared" si="17"/>
        <v>96182.341199999995</v>
      </c>
      <c r="G212" s="39">
        <f t="shared" si="13"/>
        <v>20512.32</v>
      </c>
      <c r="H212" s="39">
        <f t="shared" si="18"/>
        <v>192460.68959999998</v>
      </c>
      <c r="I212" s="39">
        <f t="shared" si="14"/>
        <v>82988.135999999984</v>
      </c>
      <c r="J212" s="39">
        <f t="shared" si="20"/>
        <v>1176706.190307</v>
      </c>
    </row>
    <row r="213" spans="1:10">
      <c r="A213" s="32" t="s">
        <v>75</v>
      </c>
      <c r="B213" s="39">
        <f t="shared" si="15"/>
        <v>0</v>
      </c>
      <c r="C213" s="39">
        <f t="shared" si="16"/>
        <v>2991259.6640189998</v>
      </c>
      <c r="D213" s="39">
        <f t="shared" si="21"/>
        <v>0</v>
      </c>
      <c r="E213" s="39">
        <f t="shared" si="21"/>
        <v>0</v>
      </c>
      <c r="F213" s="39">
        <f t="shared" si="17"/>
        <v>489607.52543999994</v>
      </c>
      <c r="G213" s="39">
        <f t="shared" si="13"/>
        <v>69969</v>
      </c>
      <c r="H213" s="39">
        <f t="shared" si="18"/>
        <v>979696.18559999997</v>
      </c>
      <c r="I213" s="39">
        <f t="shared" si="14"/>
        <v>256868.04</v>
      </c>
      <c r="J213" s="39">
        <f t="shared" si="20"/>
        <v>4787400.4150589993</v>
      </c>
    </row>
    <row r="214" spans="1:10">
      <c r="A214" s="32" t="s">
        <v>76</v>
      </c>
      <c r="B214" s="39">
        <f t="shared" si="15"/>
        <v>210639.4</v>
      </c>
      <c r="C214" s="39">
        <f t="shared" si="16"/>
        <v>0</v>
      </c>
      <c r="D214" s="39">
        <f t="shared" si="21"/>
        <v>0</v>
      </c>
      <c r="E214" s="39">
        <f t="shared" si="21"/>
        <v>65116.579076999995</v>
      </c>
      <c r="F214" s="39">
        <f t="shared" si="17"/>
        <v>0</v>
      </c>
      <c r="G214" s="39">
        <f t="shared" si="13"/>
        <v>0</v>
      </c>
      <c r="H214" s="39">
        <f t="shared" si="18"/>
        <v>0</v>
      </c>
      <c r="I214" s="39">
        <f t="shared" si="14"/>
        <v>0</v>
      </c>
      <c r="J214" s="39">
        <f t="shared" si="20"/>
        <v>275755.979077</v>
      </c>
    </row>
    <row r="215" spans="1:10">
      <c r="A215" s="32" t="s">
        <v>77</v>
      </c>
      <c r="B215" s="39">
        <f t="shared" si="15"/>
        <v>929867.2</v>
      </c>
      <c r="C215" s="39">
        <f t="shared" si="16"/>
        <v>0</v>
      </c>
      <c r="D215" s="39">
        <f t="shared" si="21"/>
        <v>0</v>
      </c>
      <c r="E215" s="39">
        <f t="shared" si="21"/>
        <v>287461.35297000001</v>
      </c>
      <c r="F215" s="39">
        <f t="shared" si="17"/>
        <v>0</v>
      </c>
      <c r="G215" s="39">
        <f t="shared" si="13"/>
        <v>0</v>
      </c>
      <c r="H215" s="39">
        <f t="shared" si="18"/>
        <v>0</v>
      </c>
      <c r="I215" s="39">
        <f t="shared" si="14"/>
        <v>0</v>
      </c>
      <c r="J215" s="39">
        <f t="shared" si="20"/>
        <v>1217328.5529700001</v>
      </c>
    </row>
    <row r="216" spans="1:10">
      <c r="A216" s="32" t="s">
        <v>78</v>
      </c>
      <c r="B216" s="39">
        <f t="shared" si="15"/>
        <v>0</v>
      </c>
      <c r="C216" s="39">
        <f t="shared" si="16"/>
        <v>221429.10903299999</v>
      </c>
      <c r="D216" s="39">
        <f t="shared" si="21"/>
        <v>0</v>
      </c>
      <c r="E216" s="39">
        <f t="shared" si="21"/>
        <v>0</v>
      </c>
      <c r="F216" s="39">
        <f t="shared" si="17"/>
        <v>38367.328560000002</v>
      </c>
      <c r="G216" s="39">
        <f t="shared" si="13"/>
        <v>7219.2000000000007</v>
      </c>
      <c r="H216" s="39">
        <f t="shared" si="18"/>
        <v>76771.752000000008</v>
      </c>
      <c r="I216" s="39">
        <f t="shared" si="14"/>
        <v>35566.343999999997</v>
      </c>
      <c r="J216" s="39">
        <f t="shared" si="20"/>
        <v>379353.73359299992</v>
      </c>
    </row>
    <row r="217" spans="1:10">
      <c r="A217" s="32" t="s">
        <v>79</v>
      </c>
      <c r="B217" s="39">
        <f t="shared" si="15"/>
        <v>53944.1</v>
      </c>
      <c r="C217" s="39">
        <f t="shared" si="16"/>
        <v>0</v>
      </c>
      <c r="D217" s="39">
        <f t="shared" si="21"/>
        <v>0</v>
      </c>
      <c r="E217" s="39">
        <f t="shared" si="21"/>
        <v>16676.288639999999</v>
      </c>
      <c r="F217" s="39">
        <f t="shared" si="17"/>
        <v>0</v>
      </c>
      <c r="G217" s="39">
        <f t="shared" si="13"/>
        <v>0</v>
      </c>
      <c r="H217" s="39">
        <f t="shared" si="18"/>
        <v>0</v>
      </c>
      <c r="I217" s="39">
        <f t="shared" si="14"/>
        <v>0</v>
      </c>
      <c r="J217" s="39">
        <f t="shared" si="20"/>
        <v>70620.38863999999</v>
      </c>
    </row>
    <row r="218" spans="1:10">
      <c r="A218" s="32" t="s">
        <v>80</v>
      </c>
      <c r="B218" s="39">
        <f t="shared" si="15"/>
        <v>0</v>
      </c>
      <c r="C218" s="39">
        <f t="shared" si="16"/>
        <v>1137677.5213649999</v>
      </c>
      <c r="D218" s="39">
        <f t="shared" si="21"/>
        <v>0</v>
      </c>
      <c r="E218" s="39">
        <f t="shared" si="21"/>
        <v>0</v>
      </c>
      <c r="F218" s="39">
        <f t="shared" si="17"/>
        <v>173347.63115999999</v>
      </c>
      <c r="G218" s="39">
        <f t="shared" si="13"/>
        <v>20817.84</v>
      </c>
      <c r="H218" s="39">
        <f t="shared" si="18"/>
        <v>346866.77600000001</v>
      </c>
      <c r="I218" s="39">
        <f t="shared" si="14"/>
        <v>67180.872000000003</v>
      </c>
      <c r="J218" s="39">
        <f>SUM(B218:I218)</f>
        <v>1745890.6405249999</v>
      </c>
    </row>
    <row r="219" spans="1:10">
      <c r="A219" s="32" t="s">
        <v>81</v>
      </c>
      <c r="B219" s="39">
        <f t="shared" si="15"/>
        <v>0</v>
      </c>
      <c r="C219" s="39">
        <f t="shared" si="16"/>
        <v>1038342.8997809999</v>
      </c>
      <c r="D219" s="39">
        <f t="shared" si="21"/>
        <v>0</v>
      </c>
      <c r="E219" s="39">
        <f t="shared" si="21"/>
        <v>33022.378520999999</v>
      </c>
      <c r="F219" s="39">
        <f t="shared" si="17"/>
        <v>132455.49635999999</v>
      </c>
      <c r="G219" s="39">
        <f t="shared" si="13"/>
        <v>12612.72</v>
      </c>
      <c r="H219" s="39">
        <f t="shared" si="18"/>
        <v>265043.17920000001</v>
      </c>
      <c r="I219" s="39">
        <f t="shared" si="14"/>
        <v>59277.24</v>
      </c>
      <c r="J219" s="39">
        <f t="shared" ref="J219" si="22">SUM(B219:I219)</f>
        <v>1540753.913862</v>
      </c>
    </row>
    <row r="220" spans="1:10">
      <c r="A220" s="32" t="s">
        <v>82</v>
      </c>
      <c r="B220" s="39">
        <f t="shared" si="15"/>
        <v>0</v>
      </c>
      <c r="C220" s="39">
        <f t="shared" si="16"/>
        <v>223474.78088099998</v>
      </c>
      <c r="D220" s="39">
        <f t="shared" si="21"/>
        <v>0</v>
      </c>
      <c r="E220" s="39">
        <f t="shared" si="21"/>
        <v>0</v>
      </c>
      <c r="F220" s="39">
        <f t="shared" si="17"/>
        <v>32764.353599999999</v>
      </c>
      <c r="G220" s="39">
        <f t="shared" si="13"/>
        <v>6241.7999999999993</v>
      </c>
      <c r="H220" s="39">
        <f t="shared" si="18"/>
        <v>65561.145599999989</v>
      </c>
      <c r="I220" s="39">
        <f t="shared" si="14"/>
        <v>15807.263999999999</v>
      </c>
      <c r="J220" s="39">
        <f>SUM(B220:I220)</f>
        <v>343849.34408100002</v>
      </c>
    </row>
    <row r="221" spans="1:10">
      <c r="A221" s="32" t="s">
        <v>83</v>
      </c>
      <c r="B221" s="39">
        <f t="shared" si="15"/>
        <v>0</v>
      </c>
      <c r="C221" s="39">
        <f t="shared" si="16"/>
        <v>304402.036158</v>
      </c>
      <c r="D221" s="39">
        <f t="shared" si="21"/>
        <v>0</v>
      </c>
      <c r="E221" s="39">
        <f t="shared" si="21"/>
        <v>0</v>
      </c>
      <c r="F221" s="39">
        <f t="shared" si="17"/>
        <v>33311.241479999997</v>
      </c>
      <c r="G221" s="39">
        <f t="shared" si="13"/>
        <v>7439.88</v>
      </c>
      <c r="H221" s="39">
        <f t="shared" si="18"/>
        <v>66655.854399999997</v>
      </c>
      <c r="I221" s="39">
        <f t="shared" si="14"/>
        <v>11855.447999999999</v>
      </c>
      <c r="J221" s="39">
        <f>SUM(B221:I221)</f>
        <v>423664.46003799996</v>
      </c>
    </row>
    <row r="222" spans="1:10">
      <c r="A222" s="32" t="s">
        <v>84</v>
      </c>
      <c r="B222" s="39">
        <f t="shared" si="15"/>
        <v>0</v>
      </c>
      <c r="C222" s="39">
        <f t="shared" si="16"/>
        <v>1223323.5421440001</v>
      </c>
      <c r="D222" s="39">
        <f t="shared" si="21"/>
        <v>0</v>
      </c>
      <c r="E222" s="39">
        <f t="shared" si="21"/>
        <v>0</v>
      </c>
      <c r="F222" s="39">
        <f t="shared" si="17"/>
        <v>180886.51152</v>
      </c>
      <c r="G222" s="39">
        <f t="shared" si="13"/>
        <v>37251.360000000001</v>
      </c>
      <c r="H222" s="39">
        <f t="shared" si="18"/>
        <v>361948.71360000002</v>
      </c>
      <c r="I222" s="39">
        <f t="shared" si="14"/>
        <v>134361.74400000001</v>
      </c>
      <c r="J222" s="39">
        <f t="shared" ref="J222:J230" si="23">SUM(B222:I222)</f>
        <v>1937771.871264</v>
      </c>
    </row>
    <row r="223" spans="1:10">
      <c r="A223" s="32" t="s">
        <v>85</v>
      </c>
      <c r="B223" s="39">
        <f t="shared" si="15"/>
        <v>0</v>
      </c>
      <c r="C223" s="39">
        <f t="shared" si="16"/>
        <v>371352.88921499997</v>
      </c>
      <c r="D223" s="39">
        <f t="shared" si="21"/>
        <v>0</v>
      </c>
      <c r="E223" s="39">
        <f t="shared" si="21"/>
        <v>0</v>
      </c>
      <c r="F223" s="39">
        <f t="shared" si="17"/>
        <v>47135.663520000002</v>
      </c>
      <c r="G223" s="39">
        <f t="shared" si="13"/>
        <v>3942</v>
      </c>
      <c r="H223" s="39">
        <f t="shared" si="18"/>
        <v>94318.484800000006</v>
      </c>
      <c r="I223" s="39">
        <f t="shared" si="14"/>
        <v>15807.263999999999</v>
      </c>
      <c r="J223" s="39">
        <f t="shared" si="23"/>
        <v>532556.30153499998</v>
      </c>
    </row>
    <row r="224" spans="1:10">
      <c r="A224" s="32" t="s">
        <v>86</v>
      </c>
      <c r="B224" s="39">
        <f t="shared" si="15"/>
        <v>0</v>
      </c>
      <c r="C224" s="39">
        <f t="shared" si="16"/>
        <v>1067679.506421</v>
      </c>
      <c r="D224" s="39">
        <f t="shared" si="21"/>
        <v>0</v>
      </c>
      <c r="E224" s="39">
        <f t="shared" si="21"/>
        <v>0</v>
      </c>
      <c r="F224" s="39">
        <f t="shared" si="17"/>
        <v>171536.03808</v>
      </c>
      <c r="G224" s="39">
        <f t="shared" si="13"/>
        <v>27890.04</v>
      </c>
      <c r="H224" s="39">
        <f t="shared" si="18"/>
        <v>343240.30239999999</v>
      </c>
      <c r="I224" s="39">
        <f t="shared" si="14"/>
        <v>63229.055999999997</v>
      </c>
      <c r="J224" s="39">
        <f t="shared" si="23"/>
        <v>1673574.9429010001</v>
      </c>
    </row>
    <row r="225" spans="1:10">
      <c r="A225" s="32" t="s">
        <v>87</v>
      </c>
      <c r="B225" s="39">
        <f t="shared" si="15"/>
        <v>0</v>
      </c>
      <c r="C225" s="39">
        <f t="shared" si="16"/>
        <v>3412542.4920180002</v>
      </c>
      <c r="D225" s="39">
        <f t="shared" si="21"/>
        <v>0</v>
      </c>
      <c r="E225" s="39">
        <f t="shared" si="21"/>
        <v>55520.058032999994</v>
      </c>
      <c r="F225" s="39">
        <f t="shared" si="17"/>
        <v>515478.87599999999</v>
      </c>
      <c r="G225" s="39">
        <f t="shared" si="13"/>
        <v>80452.680000000008</v>
      </c>
      <c r="H225" s="39">
        <f t="shared" si="18"/>
        <v>1031467.872</v>
      </c>
      <c r="I225" s="39">
        <f t="shared" si="14"/>
        <v>197590.8</v>
      </c>
      <c r="J225" s="39">
        <f t="shared" si="23"/>
        <v>5293052.778051001</v>
      </c>
    </row>
    <row r="226" spans="1:10">
      <c r="A226" s="32" t="s">
        <v>88</v>
      </c>
      <c r="B226" s="39">
        <f t="shared" si="15"/>
        <v>0</v>
      </c>
      <c r="C226" s="39">
        <f t="shared" si="16"/>
        <v>107804.52153899999</v>
      </c>
      <c r="D226" s="39">
        <f t="shared" ref="D226:E241" si="24">D46*D137</f>
        <v>0</v>
      </c>
      <c r="E226" s="39">
        <f t="shared" si="24"/>
        <v>0</v>
      </c>
      <c r="F226" s="39">
        <f t="shared" si="17"/>
        <v>17243.586360000001</v>
      </c>
      <c r="G226" s="39">
        <f t="shared" si="13"/>
        <v>3514.92</v>
      </c>
      <c r="H226" s="39">
        <f t="shared" si="18"/>
        <v>34504.167999999998</v>
      </c>
      <c r="I226" s="39">
        <f t="shared" si="14"/>
        <v>7903.6319999999996</v>
      </c>
      <c r="J226" s="39">
        <f t="shared" si="23"/>
        <v>170970.827899</v>
      </c>
    </row>
    <row r="227" spans="1:10">
      <c r="A227" s="32" t="s">
        <v>89</v>
      </c>
      <c r="B227" s="39">
        <f t="shared" si="15"/>
        <v>0</v>
      </c>
      <c r="C227" s="39">
        <f t="shared" si="16"/>
        <v>133937.62608599997</v>
      </c>
      <c r="D227" s="39">
        <f t="shared" si="24"/>
        <v>0</v>
      </c>
      <c r="E227" s="39">
        <f t="shared" si="24"/>
        <v>0</v>
      </c>
      <c r="F227" s="39">
        <f t="shared" si="17"/>
        <v>18921.371039999998</v>
      </c>
      <c r="G227" s="39">
        <f t="shared" si="13"/>
        <v>4167.72</v>
      </c>
      <c r="H227" s="39">
        <f t="shared" si="18"/>
        <v>37861.542399999998</v>
      </c>
      <c r="I227" s="39">
        <f t="shared" si="14"/>
        <v>7903.6319999999996</v>
      </c>
      <c r="J227" s="39">
        <f t="shared" si="23"/>
        <v>202791.89152599999</v>
      </c>
    </row>
    <row r="228" spans="1:10">
      <c r="A228" s="32" t="s">
        <v>90</v>
      </c>
      <c r="B228" s="39">
        <f t="shared" si="15"/>
        <v>0</v>
      </c>
      <c r="C228" s="39">
        <f t="shared" si="16"/>
        <v>2144225.2101929998</v>
      </c>
      <c r="D228" s="39">
        <f t="shared" si="24"/>
        <v>0</v>
      </c>
      <c r="E228" s="39">
        <f t="shared" si="24"/>
        <v>0</v>
      </c>
      <c r="F228" s="39">
        <f t="shared" si="17"/>
        <v>345365.52335999999</v>
      </c>
      <c r="G228" s="39">
        <f t="shared" si="13"/>
        <v>26534.760000000002</v>
      </c>
      <c r="H228" s="39">
        <f t="shared" si="18"/>
        <v>691074.82400000002</v>
      </c>
      <c r="I228" s="39">
        <f t="shared" si="14"/>
        <v>86939.95199999999</v>
      </c>
      <c r="J228" s="39">
        <f t="shared" si="23"/>
        <v>3294140.2695529996</v>
      </c>
    </row>
    <row r="229" spans="1:10">
      <c r="A229" s="32" t="s">
        <v>91</v>
      </c>
      <c r="B229" s="39">
        <f t="shared" si="15"/>
        <v>0</v>
      </c>
      <c r="C229" s="39">
        <f t="shared" si="16"/>
        <v>206167.095684</v>
      </c>
      <c r="D229" s="39">
        <f t="shared" si="24"/>
        <v>0</v>
      </c>
      <c r="E229" s="39">
        <f t="shared" si="24"/>
        <v>43294.754448</v>
      </c>
      <c r="F229" s="39">
        <f t="shared" si="17"/>
        <v>0</v>
      </c>
      <c r="G229" s="39">
        <f t="shared" si="13"/>
        <v>0</v>
      </c>
      <c r="H229" s="39">
        <f t="shared" si="18"/>
        <v>0</v>
      </c>
      <c r="I229" s="39">
        <f t="shared" si="14"/>
        <v>0</v>
      </c>
      <c r="J229" s="39">
        <f t="shared" si="23"/>
        <v>249461.85013199999</v>
      </c>
    </row>
    <row r="230" spans="1:10">
      <c r="A230" s="32" t="s">
        <v>92</v>
      </c>
      <c r="B230" s="39">
        <f t="shared" si="15"/>
        <v>0</v>
      </c>
      <c r="C230" s="39">
        <f t="shared" si="16"/>
        <v>310395.07738800003</v>
      </c>
      <c r="D230" s="39">
        <f t="shared" si="24"/>
        <v>0</v>
      </c>
      <c r="E230" s="39">
        <f t="shared" si="24"/>
        <v>0</v>
      </c>
      <c r="F230" s="39">
        <f t="shared" si="17"/>
        <v>57179.926319999999</v>
      </c>
      <c r="G230" s="39">
        <f t="shared" si="13"/>
        <v>10554.119999999999</v>
      </c>
      <c r="H230" s="39">
        <f t="shared" si="18"/>
        <v>114416.864</v>
      </c>
      <c r="I230" s="39">
        <f t="shared" si="14"/>
        <v>15807.263999999999</v>
      </c>
      <c r="J230" s="39">
        <f t="shared" si="23"/>
        <v>508353.25170800008</v>
      </c>
    </row>
    <row r="231" spans="1:10">
      <c r="A231" s="32" t="s">
        <v>93</v>
      </c>
      <c r="B231" s="39">
        <f t="shared" si="15"/>
        <v>0</v>
      </c>
      <c r="C231" s="39">
        <f t="shared" si="16"/>
        <v>85195.107359999995</v>
      </c>
      <c r="D231" s="39">
        <f t="shared" si="24"/>
        <v>0</v>
      </c>
      <c r="E231" s="39">
        <f t="shared" si="24"/>
        <v>0</v>
      </c>
      <c r="F231" s="39">
        <f t="shared" si="17"/>
        <v>7012.8550800000003</v>
      </c>
      <c r="G231" s="39">
        <f t="shared" si="13"/>
        <v>0</v>
      </c>
      <c r="H231" s="39">
        <f t="shared" si="18"/>
        <v>14032.7472</v>
      </c>
      <c r="I231" s="39">
        <f t="shared" si="14"/>
        <v>3951.8159999999998</v>
      </c>
      <c r="J231" s="39">
        <f>SUM(B231:I231)</f>
        <v>110192.52563999999</v>
      </c>
    </row>
    <row r="232" spans="1:10">
      <c r="A232" s="32" t="s">
        <v>94</v>
      </c>
      <c r="B232" s="39">
        <f t="shared" si="15"/>
        <v>26583</v>
      </c>
      <c r="C232" s="39">
        <f t="shared" si="16"/>
        <v>0</v>
      </c>
      <c r="D232" s="39">
        <f t="shared" si="24"/>
        <v>0</v>
      </c>
      <c r="E232" s="39">
        <f t="shared" si="24"/>
        <v>8218.3129379999991</v>
      </c>
      <c r="F232" s="39">
        <f t="shared" si="17"/>
        <v>0</v>
      </c>
      <c r="G232" s="39">
        <f t="shared" si="13"/>
        <v>0</v>
      </c>
      <c r="H232" s="39">
        <f t="shared" si="18"/>
        <v>0</v>
      </c>
      <c r="I232" s="39">
        <f t="shared" si="14"/>
        <v>0</v>
      </c>
      <c r="J232" s="39">
        <f t="shared" ref="J232:J234" si="25">SUM(B232:I232)</f>
        <v>34801.312938000003</v>
      </c>
    </row>
    <row r="233" spans="1:10">
      <c r="A233" s="32" t="s">
        <v>95</v>
      </c>
      <c r="B233" s="39">
        <f t="shared" si="15"/>
        <v>0</v>
      </c>
      <c r="C233" s="39">
        <f t="shared" si="16"/>
        <v>241778.50923599995</v>
      </c>
      <c r="D233" s="39">
        <f t="shared" si="24"/>
        <v>0</v>
      </c>
      <c r="E233" s="39">
        <f t="shared" si="24"/>
        <v>0</v>
      </c>
      <c r="F233" s="39">
        <f t="shared" si="17"/>
        <v>32369.690760000001</v>
      </c>
      <c r="G233" s="39">
        <f t="shared" si="13"/>
        <v>2654.76</v>
      </c>
      <c r="H233" s="39">
        <f t="shared" si="18"/>
        <v>64771.636799999993</v>
      </c>
      <c r="I233" s="39">
        <f t="shared" si="14"/>
        <v>15807.263999999999</v>
      </c>
      <c r="J233" s="39">
        <f t="shared" si="25"/>
        <v>357381.86079599999</v>
      </c>
    </row>
    <row r="234" spans="1:10">
      <c r="A234" s="32" t="s">
        <v>96</v>
      </c>
      <c r="B234" s="39">
        <f t="shared" si="15"/>
        <v>0</v>
      </c>
      <c r="C234" s="39">
        <f t="shared" si="16"/>
        <v>272888.00203500001</v>
      </c>
      <c r="D234" s="39">
        <f t="shared" si="24"/>
        <v>0</v>
      </c>
      <c r="E234" s="39">
        <f t="shared" si="24"/>
        <v>0</v>
      </c>
      <c r="F234" s="39">
        <f t="shared" si="17"/>
        <v>39319.958039999998</v>
      </c>
      <c r="G234" s="39">
        <f t="shared" si="13"/>
        <v>9213.48</v>
      </c>
      <c r="H234" s="39">
        <f t="shared" si="18"/>
        <v>78677.944000000003</v>
      </c>
      <c r="I234" s="39">
        <f t="shared" si="14"/>
        <v>27662.711999999996</v>
      </c>
      <c r="J234" s="39">
        <f t="shared" si="25"/>
        <v>427762.09607500001</v>
      </c>
    </row>
    <row r="235" spans="1:10">
      <c r="A235" s="32" t="s">
        <v>97</v>
      </c>
      <c r="B235" s="39">
        <f t="shared" si="15"/>
        <v>0</v>
      </c>
      <c r="C235" s="39">
        <f t="shared" si="16"/>
        <v>252263.01909599997</v>
      </c>
      <c r="D235" s="39">
        <f t="shared" si="24"/>
        <v>0</v>
      </c>
      <c r="E235" s="39">
        <f t="shared" si="24"/>
        <v>0</v>
      </c>
      <c r="F235" s="39">
        <f t="shared" si="17"/>
        <v>36140.497799999997</v>
      </c>
      <c r="G235" s="39">
        <f t="shared" si="13"/>
        <v>8225.16</v>
      </c>
      <c r="H235" s="39">
        <f t="shared" si="18"/>
        <v>72316.704000000012</v>
      </c>
      <c r="I235" s="39">
        <f t="shared" si="14"/>
        <v>11855.447999999999</v>
      </c>
      <c r="J235" s="39">
        <f>SUM(B235:I235)</f>
        <v>380800.82889599993</v>
      </c>
    </row>
    <row r="236" spans="1:10">
      <c r="A236" s="32" t="s">
        <v>98</v>
      </c>
      <c r="B236" s="39">
        <f t="shared" si="15"/>
        <v>0</v>
      </c>
      <c r="C236" s="39">
        <f t="shared" si="16"/>
        <v>230919.19507799999</v>
      </c>
      <c r="D236" s="39">
        <f t="shared" si="24"/>
        <v>0</v>
      </c>
      <c r="E236" s="39">
        <f t="shared" si="24"/>
        <v>0</v>
      </c>
      <c r="F236" s="39">
        <f t="shared" si="17"/>
        <v>36602.064839999999</v>
      </c>
      <c r="G236" s="39">
        <f t="shared" si="13"/>
        <v>4229.76</v>
      </c>
      <c r="H236" s="39">
        <f t="shared" si="18"/>
        <v>73239.628800000006</v>
      </c>
      <c r="I236" s="39">
        <f t="shared" si="14"/>
        <v>15807.263999999999</v>
      </c>
      <c r="J236" s="39">
        <f t="shared" ref="J236:J250" si="26">SUM(B236:I236)</f>
        <v>360797.91271800001</v>
      </c>
    </row>
    <row r="237" spans="1:10">
      <c r="A237" s="32" t="s">
        <v>99</v>
      </c>
      <c r="B237" s="39">
        <f t="shared" si="15"/>
        <v>67734.600000000006</v>
      </c>
      <c r="C237" s="39">
        <f t="shared" si="16"/>
        <v>0</v>
      </c>
      <c r="D237" s="39">
        <f t="shared" si="24"/>
        <v>0</v>
      </c>
      <c r="E237" s="39">
        <f t="shared" si="24"/>
        <v>20939.871545999998</v>
      </c>
      <c r="F237" s="39">
        <f t="shared" si="17"/>
        <v>0</v>
      </c>
      <c r="G237" s="39">
        <f t="shared" si="13"/>
        <v>0</v>
      </c>
      <c r="H237" s="39">
        <f t="shared" si="18"/>
        <v>0</v>
      </c>
      <c r="I237" s="39">
        <f t="shared" si="14"/>
        <v>0</v>
      </c>
      <c r="J237" s="39">
        <f t="shared" si="26"/>
        <v>88674.471546000001</v>
      </c>
    </row>
    <row r="238" spans="1:10">
      <c r="A238" s="32" t="s">
        <v>100</v>
      </c>
      <c r="B238" s="39">
        <f t="shared" si="15"/>
        <v>0</v>
      </c>
      <c r="C238" s="39">
        <f t="shared" si="16"/>
        <v>86989.633830000006</v>
      </c>
      <c r="D238" s="39">
        <f t="shared" si="24"/>
        <v>0</v>
      </c>
      <c r="E238" s="39">
        <f t="shared" si="24"/>
        <v>0</v>
      </c>
      <c r="F238" s="39">
        <f t="shared" si="17"/>
        <v>9116.6684399999995</v>
      </c>
      <c r="G238" s="39">
        <f t="shared" si="13"/>
        <v>0</v>
      </c>
      <c r="H238" s="39">
        <f t="shared" si="18"/>
        <v>18242.588800000001</v>
      </c>
      <c r="I238" s="39">
        <f t="shared" si="14"/>
        <v>3951.8159999999998</v>
      </c>
      <c r="J238" s="39">
        <f t="shared" si="26"/>
        <v>118300.70707</v>
      </c>
    </row>
    <row r="239" spans="1:10">
      <c r="A239" s="32" t="s">
        <v>101</v>
      </c>
      <c r="B239" s="39">
        <f t="shared" si="15"/>
        <v>0</v>
      </c>
      <c r="C239" s="39">
        <f t="shared" si="16"/>
        <v>126000.78440399999</v>
      </c>
      <c r="D239" s="39">
        <f t="shared" si="24"/>
        <v>0</v>
      </c>
      <c r="E239" s="39">
        <f t="shared" si="24"/>
        <v>0</v>
      </c>
      <c r="F239" s="39">
        <f t="shared" si="17"/>
        <v>22711.314119999999</v>
      </c>
      <c r="G239" s="39">
        <f t="shared" si="13"/>
        <v>2293.3200000000002</v>
      </c>
      <c r="H239" s="39">
        <f t="shared" si="18"/>
        <v>45444.977599999998</v>
      </c>
      <c r="I239" s="39">
        <f t="shared" si="14"/>
        <v>3951.8159999999998</v>
      </c>
      <c r="J239" s="39">
        <f t="shared" si="26"/>
        <v>200402.21212400001</v>
      </c>
    </row>
    <row r="240" spans="1:10">
      <c r="A240" s="32" t="s">
        <v>102</v>
      </c>
      <c r="B240" s="39">
        <f t="shared" si="15"/>
        <v>0</v>
      </c>
      <c r="C240" s="39">
        <f t="shared" si="16"/>
        <v>388685.60062199994</v>
      </c>
      <c r="D240" s="39">
        <f t="shared" si="24"/>
        <v>0</v>
      </c>
      <c r="E240" s="39">
        <f t="shared" si="24"/>
        <v>0</v>
      </c>
      <c r="F240" s="39">
        <f t="shared" si="17"/>
        <v>55009.784280000007</v>
      </c>
      <c r="G240" s="39">
        <f t="shared" si="13"/>
        <v>6811.68</v>
      </c>
      <c r="H240" s="39">
        <f t="shared" si="18"/>
        <v>110074.1296</v>
      </c>
      <c r="I240" s="39">
        <f t="shared" si="14"/>
        <v>23710.895999999997</v>
      </c>
      <c r="J240" s="39">
        <f t="shared" si="26"/>
        <v>584292.09050199995</v>
      </c>
    </row>
    <row r="241" spans="1:12">
      <c r="A241" s="32" t="s">
        <v>103</v>
      </c>
      <c r="B241" s="39">
        <f t="shared" si="15"/>
        <v>177196.19999999998</v>
      </c>
      <c r="C241" s="39">
        <f t="shared" si="16"/>
        <v>0</v>
      </c>
      <c r="D241" s="39">
        <f t="shared" si="24"/>
        <v>0</v>
      </c>
      <c r="E241" s="39">
        <f t="shared" si="24"/>
        <v>54779.871069000001</v>
      </c>
      <c r="F241" s="39">
        <f t="shared" si="17"/>
        <v>0</v>
      </c>
      <c r="G241" s="39">
        <f t="shared" si="13"/>
        <v>0</v>
      </c>
      <c r="H241" s="39">
        <f t="shared" si="18"/>
        <v>0</v>
      </c>
      <c r="I241" s="39">
        <f t="shared" si="14"/>
        <v>0</v>
      </c>
      <c r="J241" s="39">
        <f t="shared" si="26"/>
        <v>231976.071069</v>
      </c>
    </row>
    <row r="242" spans="1:12">
      <c r="A242" s="32" t="s">
        <v>104</v>
      </c>
      <c r="B242" s="39">
        <f t="shared" si="15"/>
        <v>164321.9</v>
      </c>
      <c r="C242" s="39">
        <f t="shared" si="16"/>
        <v>0</v>
      </c>
      <c r="D242" s="39">
        <f t="shared" ref="D242:E250" si="27">D62*D153</f>
        <v>0</v>
      </c>
      <c r="E242" s="39">
        <f t="shared" si="27"/>
        <v>50799.378761999993</v>
      </c>
      <c r="F242" s="39">
        <f t="shared" si="17"/>
        <v>0</v>
      </c>
      <c r="G242" s="39">
        <f t="shared" si="13"/>
        <v>0</v>
      </c>
      <c r="H242" s="39">
        <f t="shared" si="18"/>
        <v>0</v>
      </c>
      <c r="I242" s="39">
        <f t="shared" si="14"/>
        <v>0</v>
      </c>
      <c r="J242" s="39">
        <f t="shared" si="26"/>
        <v>215121.27876199997</v>
      </c>
    </row>
    <row r="243" spans="1:12">
      <c r="A243" s="32" t="s">
        <v>105</v>
      </c>
      <c r="B243" s="39">
        <f t="shared" si="15"/>
        <v>0</v>
      </c>
      <c r="C243" s="39">
        <f t="shared" si="16"/>
        <v>237933.01124999998</v>
      </c>
      <c r="D243" s="39">
        <f t="shared" si="27"/>
        <v>19034.640899999999</v>
      </c>
      <c r="E243" s="39">
        <f t="shared" si="27"/>
        <v>49968.361376999994</v>
      </c>
      <c r="F243" s="39">
        <f t="shared" si="17"/>
        <v>0</v>
      </c>
      <c r="G243" s="39">
        <f t="shared" si="13"/>
        <v>0</v>
      </c>
      <c r="H243" s="39">
        <f t="shared" si="18"/>
        <v>0</v>
      </c>
      <c r="I243" s="39">
        <f t="shared" si="14"/>
        <v>0</v>
      </c>
      <c r="J243" s="39">
        <f t="shared" si="26"/>
        <v>306936.01352699997</v>
      </c>
    </row>
    <row r="244" spans="1:12">
      <c r="A244" s="32" t="s">
        <v>106</v>
      </c>
      <c r="B244" s="39">
        <f t="shared" si="15"/>
        <v>0</v>
      </c>
      <c r="C244" s="39">
        <f t="shared" si="16"/>
        <v>1965928.7740949998</v>
      </c>
      <c r="D244" s="39">
        <f t="shared" si="27"/>
        <v>5616.323163</v>
      </c>
      <c r="E244" s="39">
        <f t="shared" si="27"/>
        <v>131242.303269</v>
      </c>
      <c r="F244" s="39">
        <f t="shared" si="17"/>
        <v>198288.36588</v>
      </c>
      <c r="G244" s="39">
        <f t="shared" si="13"/>
        <v>24505.08</v>
      </c>
      <c r="H244" s="39">
        <f t="shared" si="18"/>
        <v>396773.25439999998</v>
      </c>
      <c r="I244" s="39">
        <f t="shared" si="14"/>
        <v>82988.135999999984</v>
      </c>
      <c r="J244" s="39">
        <f t="shared" si="26"/>
        <v>2805342.2368069994</v>
      </c>
    </row>
    <row r="245" spans="1:12">
      <c r="A245" s="32" t="s">
        <v>107</v>
      </c>
      <c r="B245" s="39">
        <f t="shared" si="15"/>
        <v>11559.300000000001</v>
      </c>
      <c r="C245" s="39">
        <f t="shared" si="16"/>
        <v>0</v>
      </c>
      <c r="D245" s="39">
        <f t="shared" si="27"/>
        <v>0</v>
      </c>
      <c r="E245" s="39">
        <f t="shared" si="27"/>
        <v>3573.3011489999999</v>
      </c>
      <c r="F245" s="39">
        <f t="shared" si="17"/>
        <v>0</v>
      </c>
      <c r="G245" s="39">
        <f t="shared" si="13"/>
        <v>0</v>
      </c>
      <c r="H245" s="39">
        <f t="shared" si="18"/>
        <v>0</v>
      </c>
      <c r="I245" s="39">
        <f t="shared" si="14"/>
        <v>0</v>
      </c>
      <c r="J245" s="39">
        <f t="shared" si="26"/>
        <v>15132.601149000002</v>
      </c>
    </row>
    <row r="246" spans="1:12">
      <c r="A246" s="32" t="s">
        <v>108</v>
      </c>
      <c r="B246" s="39">
        <f t="shared" si="15"/>
        <v>0</v>
      </c>
      <c r="C246" s="39">
        <f t="shared" si="16"/>
        <v>26244.250361999999</v>
      </c>
      <c r="D246" s="39">
        <f t="shared" si="27"/>
        <v>0</v>
      </c>
      <c r="E246" s="39">
        <f t="shared" si="27"/>
        <v>0</v>
      </c>
      <c r="F246" s="39">
        <f t="shared" si="17"/>
        <v>5127.4515600000004</v>
      </c>
      <c r="G246" s="39">
        <f t="shared" si="13"/>
        <v>855.59999999999991</v>
      </c>
      <c r="H246" s="39">
        <f t="shared" si="18"/>
        <v>10259.951999999999</v>
      </c>
      <c r="I246" s="39">
        <f t="shared" si="14"/>
        <v>3951.8159999999998</v>
      </c>
      <c r="J246" s="39">
        <f t="shared" si="26"/>
        <v>46439.069921999995</v>
      </c>
    </row>
    <row r="247" spans="1:12">
      <c r="A247" s="32" t="s">
        <v>109</v>
      </c>
      <c r="B247" s="39">
        <f t="shared" si="15"/>
        <v>35355.300000000003</v>
      </c>
      <c r="C247" s="39">
        <f t="shared" si="16"/>
        <v>0</v>
      </c>
      <c r="D247" s="39">
        <f t="shared" si="27"/>
        <v>0</v>
      </c>
      <c r="E247" s="39">
        <f t="shared" si="27"/>
        <v>10930.123610999999</v>
      </c>
      <c r="F247" s="39">
        <f t="shared" si="17"/>
        <v>0</v>
      </c>
      <c r="G247" s="39">
        <f t="shared" si="13"/>
        <v>0</v>
      </c>
      <c r="H247" s="39">
        <f t="shared" si="18"/>
        <v>0</v>
      </c>
      <c r="I247" s="39">
        <f t="shared" si="14"/>
        <v>0</v>
      </c>
      <c r="J247" s="39">
        <f t="shared" si="26"/>
        <v>46285.423611000006</v>
      </c>
    </row>
    <row r="248" spans="1:12">
      <c r="A248" s="32" t="s">
        <v>110</v>
      </c>
      <c r="B248" s="39">
        <f t="shared" si="15"/>
        <v>0</v>
      </c>
      <c r="C248" s="39">
        <f t="shared" si="16"/>
        <v>707912.86915799999</v>
      </c>
      <c r="D248" s="39">
        <f t="shared" si="27"/>
        <v>0</v>
      </c>
      <c r="E248" s="39">
        <f t="shared" si="27"/>
        <v>10470.082985999999</v>
      </c>
      <c r="F248" s="39">
        <f t="shared" si="17"/>
        <v>93514.374360000002</v>
      </c>
      <c r="G248" s="39">
        <f t="shared" si="13"/>
        <v>14556.48</v>
      </c>
      <c r="H248" s="39">
        <f t="shared" si="18"/>
        <v>187122.1312</v>
      </c>
      <c r="I248" s="39">
        <f t="shared" si="14"/>
        <v>35566.343999999997</v>
      </c>
      <c r="J248" s="39">
        <f t="shared" si="26"/>
        <v>1049142.281704</v>
      </c>
    </row>
    <row r="249" spans="1:12">
      <c r="A249" s="32" t="s">
        <v>111</v>
      </c>
      <c r="B249" s="39">
        <f t="shared" si="15"/>
        <v>0</v>
      </c>
      <c r="C249" s="39">
        <f t="shared" si="16"/>
        <v>18860.51856</v>
      </c>
      <c r="D249" s="39">
        <f t="shared" si="27"/>
        <v>0</v>
      </c>
      <c r="E249" s="39">
        <f t="shared" si="27"/>
        <v>0</v>
      </c>
      <c r="F249" s="39">
        <f t="shared" si="17"/>
        <v>0</v>
      </c>
      <c r="G249" s="39">
        <f t="shared" ref="G249:G250" si="28">($F$192*G160)*13</f>
        <v>0</v>
      </c>
      <c r="H249" s="39">
        <f t="shared" si="18"/>
        <v>0</v>
      </c>
      <c r="I249" s="39">
        <f t="shared" si="14"/>
        <v>0</v>
      </c>
      <c r="J249" s="39">
        <f t="shared" si="26"/>
        <v>18860.51856</v>
      </c>
    </row>
    <row r="250" spans="1:12">
      <c r="A250" s="32" t="s">
        <v>112</v>
      </c>
      <c r="B250" s="39">
        <f t="shared" si="15"/>
        <v>0</v>
      </c>
      <c r="C250" s="39">
        <f>(B70-J161)*C161</f>
        <v>0</v>
      </c>
      <c r="D250" s="39">
        <f t="shared" si="27"/>
        <v>0</v>
      </c>
      <c r="E250" s="39">
        <f t="shared" si="27"/>
        <v>0</v>
      </c>
      <c r="F250" s="39">
        <f t="shared" si="17"/>
        <v>0</v>
      </c>
      <c r="G250" s="39">
        <f t="shared" si="28"/>
        <v>3519.9391499999997</v>
      </c>
      <c r="H250" s="39">
        <f t="shared" si="18"/>
        <v>0</v>
      </c>
      <c r="I250" s="39">
        <f t="shared" si="14"/>
        <v>0</v>
      </c>
      <c r="J250" s="39">
        <f t="shared" si="26"/>
        <v>3519.9391499999997</v>
      </c>
    </row>
    <row r="251" spans="1:12">
      <c r="B251" s="42">
        <f t="shared" ref="B251:I251" si="29">SUM(B194:B250)</f>
        <v>1983642.1</v>
      </c>
      <c r="C251" s="42">
        <f t="shared" si="29"/>
        <v>47215870.630284004</v>
      </c>
      <c r="D251" s="42">
        <f t="shared" si="29"/>
        <v>80273.040704999992</v>
      </c>
      <c r="E251" s="42">
        <f t="shared" si="29"/>
        <v>1283401.1674439998</v>
      </c>
      <c r="F251" s="42">
        <f>SUM(F194:F250)</f>
        <v>6784661.8316400014</v>
      </c>
      <c r="G251" s="42">
        <f t="shared" si="29"/>
        <v>940985.13914999994</v>
      </c>
      <c r="H251" s="42">
        <f>SUM(H194:H250)</f>
        <v>13576033.711999999</v>
      </c>
      <c r="I251" s="42">
        <f t="shared" si="29"/>
        <v>2999428.3440000005</v>
      </c>
      <c r="J251" s="42">
        <f>SUM(J194:J250)</f>
        <v>74864295.965222999</v>
      </c>
    </row>
    <row r="252" spans="1:12">
      <c r="A252" s="36" t="s">
        <v>114</v>
      </c>
      <c r="B252" s="36" t="s">
        <v>47</v>
      </c>
      <c r="C252" s="51" t="s">
        <v>48</v>
      </c>
      <c r="D252" s="51" t="s">
        <v>49</v>
      </c>
      <c r="E252" s="36" t="s">
        <v>50</v>
      </c>
      <c r="F252" s="36" t="s">
        <v>51</v>
      </c>
      <c r="G252" s="36" t="s">
        <v>52</v>
      </c>
      <c r="H252" s="36" t="s">
        <v>53</v>
      </c>
      <c r="I252" s="36" t="s">
        <v>54</v>
      </c>
      <c r="J252" s="52" t="s">
        <v>115</v>
      </c>
    </row>
    <row r="253" spans="1:12">
      <c r="A253" s="52" t="s">
        <v>116</v>
      </c>
      <c r="B253" s="32"/>
      <c r="C253" s="39">
        <f>C162*C75</f>
        <v>3091563.9479999999</v>
      </c>
      <c r="D253" s="39">
        <f t="shared" ref="D253:I254" si="30">D162*D75</f>
        <v>0</v>
      </c>
      <c r="E253" s="39">
        <f t="shared" si="30"/>
        <v>0</v>
      </c>
      <c r="F253" s="39">
        <f>($F$192*F162)*(12+1+0.27+(0.086*13))</f>
        <v>115665.41976000002</v>
      </c>
      <c r="G253" s="39">
        <f>($G$192*G162)*12</f>
        <v>71011.319999999992</v>
      </c>
      <c r="H253" s="39">
        <f>($H$192*H162)*(12+1+0.27+(0.086*13))</f>
        <v>231449.20480000001</v>
      </c>
      <c r="I253" s="39">
        <f t="shared" si="30"/>
        <v>0</v>
      </c>
      <c r="J253" s="39">
        <f>SUM(B253:I253)</f>
        <v>3509689.8925599996</v>
      </c>
    </row>
    <row r="254" spans="1:12">
      <c r="A254" s="36" t="s">
        <v>117</v>
      </c>
      <c r="B254" s="32"/>
      <c r="C254" s="39">
        <f>C163*C76</f>
        <v>23764607.947079998</v>
      </c>
      <c r="D254" s="39">
        <f t="shared" si="30"/>
        <v>0</v>
      </c>
      <c r="E254" s="39">
        <f t="shared" si="30"/>
        <v>0</v>
      </c>
      <c r="F254" s="39">
        <f>($F$192*F163)*(12+1+0.27+(0.086*13))</f>
        <v>1889221.3758</v>
      </c>
      <c r="G254" s="39">
        <f>($G$192*G163)*12</f>
        <v>569538.96</v>
      </c>
      <c r="H254" s="39">
        <f>($H$192*H163)*(12+1+0.27+(0.086*13))</f>
        <v>3780353.5216000001</v>
      </c>
      <c r="I254" s="39">
        <f t="shared" si="30"/>
        <v>0</v>
      </c>
      <c r="J254" s="39">
        <f t="shared" ref="J254" si="31">SUM(B254:I254)</f>
        <v>30003721.804479998</v>
      </c>
    </row>
    <row r="255" spans="1:12">
      <c r="A255" s="32"/>
      <c r="B255" s="32"/>
      <c r="C255" s="39">
        <f>SUM(C253:C254)</f>
        <v>26856171.895079996</v>
      </c>
      <c r="D255" s="60">
        <f t="shared" ref="D255:I255" si="32">SUM(D253:D254)</f>
        <v>0</v>
      </c>
      <c r="E255" s="60">
        <f t="shared" si="32"/>
        <v>0</v>
      </c>
      <c r="F255" s="39">
        <f t="shared" si="32"/>
        <v>2004886.79556</v>
      </c>
      <c r="G255" s="60">
        <f t="shared" si="32"/>
        <v>640550.27999999991</v>
      </c>
      <c r="H255" s="39">
        <f t="shared" si="32"/>
        <v>4011802.7264</v>
      </c>
      <c r="I255" s="60">
        <f t="shared" si="32"/>
        <v>0</v>
      </c>
      <c r="J255" s="39">
        <f>SUM(J253:J254)</f>
        <v>33513411.697039999</v>
      </c>
    </row>
    <row r="256" spans="1:12">
      <c r="A256" s="61" t="s">
        <v>119</v>
      </c>
      <c r="B256" s="35"/>
      <c r="C256" s="62"/>
      <c r="D256" s="62"/>
      <c r="E256" s="35"/>
      <c r="F256" s="35"/>
      <c r="G256" s="35"/>
      <c r="H256" s="63"/>
      <c r="I256" s="35"/>
      <c r="J256" s="63">
        <f>J251+J255</f>
        <v>108377707.66226301</v>
      </c>
      <c r="L256" s="50"/>
    </row>
    <row r="257" spans="1:10">
      <c r="A257" s="31" t="s">
        <v>129</v>
      </c>
      <c r="I257" s="67" t="s">
        <v>130</v>
      </c>
      <c r="J257" s="38">
        <f>J256-C255</f>
        <v>81521535.767183006</v>
      </c>
    </row>
    <row r="258" spans="1:10">
      <c r="J258" s="42">
        <v>81521535.769999996</v>
      </c>
    </row>
    <row r="259" spans="1:10">
      <c r="A259" s="32" t="s">
        <v>131</v>
      </c>
      <c r="B259" s="68">
        <f>SUM(B194:B204)+B207+B244+B245+B246+B247+B248+B249+B250</f>
        <v>353355.7</v>
      </c>
      <c r="C259" s="68">
        <f>SUM(C194:C204)+C207+C244+C245+C246+C247+C248+C249+C250</f>
        <v>13835220.567248998</v>
      </c>
      <c r="D259" s="68">
        <f>SUM(D194:D204)+D207+D244+D245+D246+D247+D248+D249+D250</f>
        <v>52817.521779000002</v>
      </c>
      <c r="E259" s="68">
        <f>SUM(E194:E204)+E207+E244+E245+E246+E247+E248+E249+E250</f>
        <v>575498.60319599998</v>
      </c>
      <c r="F259" s="68">
        <f>SUM(F194:F204)+F207+F244+F245+F246+F247+F248+F249+F250+F255</f>
        <v>3796223.5858800001</v>
      </c>
      <c r="G259" s="68">
        <f>SUM(G194:G204)+G207+G244+G245+G246+G247+G248+G249+G250+G255</f>
        <v>915162.45914999989</v>
      </c>
      <c r="H259" s="68">
        <f>SUM(H194:H204)+H207+H244+H245+H246+H247+H248+H249+H250+H255</f>
        <v>7596248.1935999999</v>
      </c>
      <c r="I259" s="68">
        <f>SUM(I194:I204)+I207+I244+I245+I246+I247+I248+I249+I250+I255</f>
        <v>821977.72799999989</v>
      </c>
      <c r="J259" s="39">
        <f>SUM(B259:I259)</f>
        <v>27946504.358854</v>
      </c>
    </row>
    <row r="260" spans="1:10">
      <c r="A260" s="32" t="s">
        <v>132</v>
      </c>
      <c r="B260" s="68">
        <f t="shared" ref="B260:I260" si="33">B216+B219</f>
        <v>0</v>
      </c>
      <c r="C260" s="68">
        <f t="shared" si="33"/>
        <v>1259772.0088139998</v>
      </c>
      <c r="D260" s="68">
        <f t="shared" si="33"/>
        <v>0</v>
      </c>
      <c r="E260" s="68">
        <f t="shared" si="33"/>
        <v>33022.378520999999</v>
      </c>
      <c r="F260" s="68">
        <f t="shared" si="33"/>
        <v>170822.82491999998</v>
      </c>
      <c r="G260" s="68">
        <f t="shared" si="33"/>
        <v>19831.919999999998</v>
      </c>
      <c r="H260" s="68">
        <f t="shared" si="33"/>
        <v>341814.93119999999</v>
      </c>
      <c r="I260" s="68">
        <f t="shared" si="33"/>
        <v>94843.584000000003</v>
      </c>
      <c r="J260" s="39">
        <f t="shared" ref="J260:J264" si="34">SUM(B260:I260)</f>
        <v>1920107.6474549999</v>
      </c>
    </row>
    <row r="261" spans="1:10">
      <c r="A261" s="32" t="s">
        <v>133</v>
      </c>
      <c r="B261" s="68">
        <f t="shared" ref="B261:I261" si="35">B225+B235+B240+B243</f>
        <v>0</v>
      </c>
      <c r="C261" s="68">
        <f t="shared" si="35"/>
        <v>4291424.122986</v>
      </c>
      <c r="D261" s="68">
        <f t="shared" si="35"/>
        <v>19034.640899999999</v>
      </c>
      <c r="E261" s="68">
        <f t="shared" si="35"/>
        <v>105488.41940999999</v>
      </c>
      <c r="F261" s="68">
        <f t="shared" si="35"/>
        <v>606629.15807999996</v>
      </c>
      <c r="G261" s="68">
        <f t="shared" si="35"/>
        <v>95489.520000000019</v>
      </c>
      <c r="H261" s="68">
        <f t="shared" si="35"/>
        <v>1213858.7056</v>
      </c>
      <c r="I261" s="68">
        <f t="shared" si="35"/>
        <v>233157.144</v>
      </c>
      <c r="J261" s="39">
        <f t="shared" si="34"/>
        <v>6565081.710975999</v>
      </c>
    </row>
    <row r="262" spans="1:10">
      <c r="A262" s="32" t="s">
        <v>38</v>
      </c>
      <c r="B262" s="68">
        <f t="shared" ref="B262:I262" si="36">B205+B206+B208+B209+B210+B211+B212+B213+B214+B215+B218</f>
        <v>1140506.5999999999</v>
      </c>
      <c r="C262" s="68">
        <f t="shared" si="36"/>
        <v>20692920.413583003</v>
      </c>
      <c r="D262" s="68">
        <f t="shared" si="36"/>
        <v>8420.8780259999985</v>
      </c>
      <c r="E262" s="68">
        <f t="shared" si="36"/>
        <v>374683.28891400003</v>
      </c>
      <c r="F262" s="68">
        <f t="shared" si="36"/>
        <v>3164396.2917599999</v>
      </c>
      <c r="G262" s="68">
        <f t="shared" si="36"/>
        <v>405123.60000000003</v>
      </c>
      <c r="H262" s="68">
        <f t="shared" si="36"/>
        <v>6331923.1855999986</v>
      </c>
      <c r="I262" s="68">
        <f t="shared" si="36"/>
        <v>1418701.9439999999</v>
      </c>
      <c r="J262" s="39">
        <f t="shared" si="34"/>
        <v>33536676.201883003</v>
      </c>
    </row>
    <row r="263" spans="1:10">
      <c r="A263" s="32" t="s">
        <v>134</v>
      </c>
      <c r="B263" s="68">
        <f>B251-SUM(B259:B262)</f>
        <v>489779.80000000028</v>
      </c>
      <c r="C263" s="68">
        <f>C251-SUM(C259:C262)</f>
        <v>7136533.517652005</v>
      </c>
      <c r="D263" s="68">
        <f t="shared" ref="D263:E263" si="37">D251-SUM(D259:D262)</f>
        <v>0</v>
      </c>
      <c r="E263" s="68">
        <f t="shared" si="37"/>
        <v>194708.47740299976</v>
      </c>
      <c r="F263" s="68">
        <f>(F251+F255)-SUM(F259:F262)</f>
        <v>1051476.7665600013</v>
      </c>
      <c r="G263" s="68">
        <f t="shared" ref="G263:I263" si="38">(G251+G255)-SUM(G259:G262)</f>
        <v>145927.91999999993</v>
      </c>
      <c r="H263" s="68">
        <f t="shared" si="38"/>
        <v>2103991.4224000014</v>
      </c>
      <c r="I263" s="68">
        <f t="shared" si="38"/>
        <v>430747.9440000006</v>
      </c>
      <c r="J263" s="39">
        <f t="shared" si="34"/>
        <v>11553165.848015008</v>
      </c>
    </row>
    <row r="264" spans="1:10">
      <c r="A264" s="32" t="s">
        <v>135</v>
      </c>
      <c r="B264" s="39">
        <f>B255</f>
        <v>0</v>
      </c>
      <c r="C264" s="39">
        <f>C255</f>
        <v>26856171.895079996</v>
      </c>
      <c r="D264" s="39">
        <f>D255</f>
        <v>0</v>
      </c>
      <c r="E264" s="39">
        <f>E255</f>
        <v>0</v>
      </c>
      <c r="F264" s="39">
        <f>F256</f>
        <v>0</v>
      </c>
      <c r="G264" s="39">
        <f>G256</f>
        <v>0</v>
      </c>
      <c r="H264" s="39"/>
      <c r="I264" s="39">
        <f>I256</f>
        <v>0</v>
      </c>
      <c r="J264" s="39">
        <f t="shared" si="34"/>
        <v>26856171.895079996</v>
      </c>
    </row>
    <row r="265" spans="1:10">
      <c r="A265" s="59" t="s">
        <v>136</v>
      </c>
      <c r="B265" s="68">
        <f>SUM(B259:B264)</f>
        <v>1983642.1</v>
      </c>
      <c r="C265" s="68">
        <f>SUM(C259:C264)</f>
        <v>74072042.525363997</v>
      </c>
      <c r="D265" s="68">
        <f t="shared" ref="D265:I265" si="39">SUM(D259:D264)</f>
        <v>80273.040704999992</v>
      </c>
      <c r="E265" s="68">
        <f t="shared" si="39"/>
        <v>1283401.1674439998</v>
      </c>
      <c r="F265" s="68">
        <f>SUM(F259:F264)</f>
        <v>8789548.6272000019</v>
      </c>
      <c r="G265" s="68">
        <f t="shared" si="39"/>
        <v>1581535.41915</v>
      </c>
      <c r="H265" s="68">
        <f t="shared" si="39"/>
        <v>17587836.4384</v>
      </c>
      <c r="I265" s="68">
        <f t="shared" si="39"/>
        <v>2999428.3440000005</v>
      </c>
      <c r="J265" s="68">
        <f>SUM(J259:J264)</f>
        <v>108377707.66226301</v>
      </c>
    </row>
    <row r="266" spans="1:10">
      <c r="A266" s="34"/>
      <c r="B266" s="42">
        <f>B265-(B251+B255)</f>
        <v>0</v>
      </c>
      <c r="C266" s="42">
        <f>C265-(C251+C255)</f>
        <v>0</v>
      </c>
      <c r="D266" s="42">
        <f>D265-(D251+D255)</f>
        <v>0</v>
      </c>
      <c r="E266" s="42">
        <f>E265-(E251+E255)</f>
        <v>0</v>
      </c>
      <c r="F266" s="42">
        <f>F265-(F251+F255)</f>
        <v>0</v>
      </c>
      <c r="G266" s="42">
        <f t="shared" ref="G266:H266" si="40">G265-(G251+G255)</f>
        <v>0</v>
      </c>
      <c r="H266" s="42">
        <f t="shared" si="40"/>
        <v>0</v>
      </c>
      <c r="I266" s="42">
        <f>I265-(I251)</f>
        <v>0</v>
      </c>
      <c r="J266" s="42">
        <f>J265-(J256)</f>
        <v>0</v>
      </c>
    </row>
    <row r="267" spans="1:10">
      <c r="I267" s="69" t="s">
        <v>137</v>
      </c>
      <c r="J267" s="63">
        <f>J262-(27178.79+25511046.5)</f>
        <v>7998450.911883004</v>
      </c>
    </row>
    <row r="268" spans="1:10">
      <c r="I268" s="70" t="s">
        <v>138</v>
      </c>
      <c r="J268" s="62">
        <v>7881554.1500000004</v>
      </c>
    </row>
    <row r="275" spans="1:9">
      <c r="C275" s="34" t="s">
        <v>44</v>
      </c>
    </row>
    <row r="276" spans="1:9">
      <c r="A276" s="32" t="s">
        <v>153</v>
      </c>
      <c r="B276" s="77" t="s">
        <v>245</v>
      </c>
      <c r="C276" s="77" t="s">
        <v>246</v>
      </c>
      <c r="D276" s="53"/>
      <c r="E276" s="39" t="s">
        <v>160</v>
      </c>
      <c r="F276" s="32" t="s">
        <v>161</v>
      </c>
      <c r="G276" s="39" t="s">
        <v>162</v>
      </c>
      <c r="H276" s="32" t="s">
        <v>234</v>
      </c>
      <c r="I276" s="32" t="s">
        <v>242</v>
      </c>
    </row>
    <row r="277" spans="1:9">
      <c r="A277" s="82" t="s">
        <v>158</v>
      </c>
      <c r="B277" s="54">
        <v>3876200</v>
      </c>
      <c r="C277" s="54">
        <v>4189000</v>
      </c>
      <c r="D277" s="50"/>
      <c r="E277" s="39"/>
      <c r="F277" s="68">
        <f>G277-E277</f>
        <v>2901929.2707733451</v>
      </c>
      <c r="G277" s="39">
        <f>(B277/B293)*G298</f>
        <v>2901929.2707733451</v>
      </c>
      <c r="H277" s="68">
        <f t="shared" ref="H277:H283" si="41">G277</f>
        <v>2901929.2707733451</v>
      </c>
      <c r="I277" s="68">
        <f>G277-H277</f>
        <v>0</v>
      </c>
    </row>
    <row r="278" spans="1:9">
      <c r="A278" s="32" t="s">
        <v>56</v>
      </c>
      <c r="B278" s="54">
        <v>3023561.45</v>
      </c>
      <c r="C278" s="54">
        <v>2321581.4500000002</v>
      </c>
      <c r="D278" s="50"/>
      <c r="E278" s="39">
        <f>J194+J195</f>
        <v>2214945.0278519997</v>
      </c>
      <c r="F278" s="68">
        <f>G278-E278</f>
        <v>48653.721886635758</v>
      </c>
      <c r="G278" s="39">
        <f>(B278/B293)*G298</f>
        <v>2263598.7497386355</v>
      </c>
      <c r="H278" s="68">
        <f t="shared" si="41"/>
        <v>2263598.7497386355</v>
      </c>
      <c r="I278" s="68">
        <f t="shared" ref="I278:I292" si="42">G278-H278</f>
        <v>0</v>
      </c>
    </row>
    <row r="279" spans="1:9">
      <c r="A279" s="82" t="s">
        <v>58</v>
      </c>
      <c r="B279" s="54">
        <v>1193470.94</v>
      </c>
      <c r="C279" s="54">
        <v>1262392.3</v>
      </c>
      <c r="D279" s="50"/>
      <c r="E279" s="39">
        <f>J196</f>
        <v>716927.4870379999</v>
      </c>
      <c r="F279" s="68">
        <f t="shared" ref="F279:F292" si="43">G279-E279</f>
        <v>176568.27030253434</v>
      </c>
      <c r="G279" s="39">
        <f>(B279/B293)*G298</f>
        <v>893495.75734053424</v>
      </c>
      <c r="H279" s="68">
        <f t="shared" si="41"/>
        <v>893495.75734053424</v>
      </c>
      <c r="I279" s="68">
        <f t="shared" si="42"/>
        <v>0</v>
      </c>
    </row>
    <row r="280" spans="1:9">
      <c r="A280" s="32" t="s">
        <v>157</v>
      </c>
      <c r="B280" s="54">
        <v>1868204.8</v>
      </c>
      <c r="C280" s="54">
        <v>1831204.8</v>
      </c>
      <c r="D280" s="50"/>
      <c r="E280" s="39">
        <f>J197+J198</f>
        <v>1948292.869743</v>
      </c>
      <c r="F280" s="68">
        <f t="shared" si="43"/>
        <v>-549655.49475737917</v>
      </c>
      <c r="G280" s="39">
        <f>(B280/B293)*G298</f>
        <v>1398637.3749856208</v>
      </c>
      <c r="H280" s="68">
        <f t="shared" si="41"/>
        <v>1398637.3749856208</v>
      </c>
      <c r="I280" s="68">
        <f t="shared" si="42"/>
        <v>0</v>
      </c>
    </row>
    <row r="281" spans="1:9">
      <c r="A281" s="32" t="s">
        <v>61</v>
      </c>
      <c r="B281" s="54">
        <v>8425165.6300000008</v>
      </c>
      <c r="C281" s="54">
        <v>7750365.6299999999</v>
      </c>
      <c r="D281" s="50"/>
      <c r="E281" s="39">
        <f>J199+F255+G255+H255</f>
        <v>8797195.0410110001</v>
      </c>
      <c r="F281" s="68">
        <f>G281-E281</f>
        <v>-2489668.4033734808</v>
      </c>
      <c r="G281" s="39">
        <f>(B281/B293)*G298</f>
        <v>6307526.6376375193</v>
      </c>
      <c r="H281" s="68">
        <f t="shared" si="41"/>
        <v>6307526.6376375193</v>
      </c>
      <c r="I281" s="68">
        <f t="shared" si="42"/>
        <v>0</v>
      </c>
    </row>
    <row r="282" spans="1:9">
      <c r="A282" s="82" t="s">
        <v>62</v>
      </c>
      <c r="B282" s="54">
        <v>3533951.94</v>
      </c>
      <c r="C282" s="54">
        <v>3547551.94</v>
      </c>
      <c r="D282" s="50"/>
      <c r="E282" s="39">
        <f>J200</f>
        <v>2889677.7326159999</v>
      </c>
      <c r="F282" s="68">
        <f t="shared" si="43"/>
        <v>-243973.54392804531</v>
      </c>
      <c r="G282" s="39">
        <f>(B282/B293)*G298</f>
        <v>2645704.1886879546</v>
      </c>
      <c r="H282" s="68">
        <f t="shared" si="41"/>
        <v>2645704.1886879546</v>
      </c>
      <c r="I282" s="68">
        <f t="shared" si="42"/>
        <v>0</v>
      </c>
    </row>
    <row r="283" spans="1:9">
      <c r="A283" s="32" t="s">
        <v>64</v>
      </c>
      <c r="B283" s="54">
        <v>1277988.44</v>
      </c>
      <c r="C283" s="54">
        <v>1229036.08</v>
      </c>
      <c r="D283" s="50"/>
      <c r="E283" s="39">
        <f>J201+J202</f>
        <v>637070.25009600003</v>
      </c>
      <c r="F283" s="68">
        <f t="shared" si="43"/>
        <v>319699.79833957227</v>
      </c>
      <c r="G283" s="39">
        <f>(B283/B293)*G298</f>
        <v>956770.0484355723</v>
      </c>
      <c r="H283" s="68">
        <f t="shared" si="41"/>
        <v>956770.0484355723</v>
      </c>
      <c r="I283" s="68">
        <f t="shared" si="42"/>
        <v>0</v>
      </c>
    </row>
    <row r="284" spans="1:9">
      <c r="A284" s="82" t="s">
        <v>65</v>
      </c>
      <c r="B284" s="54">
        <v>13833080.369999999</v>
      </c>
      <c r="C284" s="54">
        <v>12475764.300000001</v>
      </c>
      <c r="D284" s="50"/>
      <c r="E284" s="39">
        <f>J203+J204</f>
        <v>6469980.5317319985</v>
      </c>
      <c r="F284" s="68">
        <f t="shared" si="43"/>
        <v>3886198.4143139161</v>
      </c>
      <c r="G284" s="39">
        <f>((B284/B293)*G298)</f>
        <v>10356178.946045915</v>
      </c>
      <c r="H284" s="54">
        <f>B326</f>
        <v>5616834.1100000003</v>
      </c>
      <c r="I284" s="68">
        <f t="shared" si="42"/>
        <v>4739344.8360459143</v>
      </c>
    </row>
    <row r="285" spans="1:9">
      <c r="A285" s="32" t="s">
        <v>148</v>
      </c>
      <c r="B285" s="54">
        <v>45261872.890000001</v>
      </c>
      <c r="C285" s="54">
        <v>38964505.890000001</v>
      </c>
      <c r="D285" s="50"/>
      <c r="E285" s="39">
        <f>SUM(J205:J219)</f>
        <v>35815097.585840993</v>
      </c>
      <c r="F285" s="68">
        <f t="shared" si="43"/>
        <v>-1929654.6805436537</v>
      </c>
      <c r="G285" s="39">
        <f>(B285/B293)*G298</f>
        <v>33885442.905297339</v>
      </c>
      <c r="H285" s="98">
        <f>E311</f>
        <v>38446412.129999995</v>
      </c>
      <c r="I285" s="101">
        <f>G285-H285</f>
        <v>-4560969.2247026563</v>
      </c>
    </row>
    <row r="286" spans="1:9">
      <c r="A286" s="82" t="s">
        <v>149</v>
      </c>
      <c r="B286" s="54">
        <v>31615066.350000001</v>
      </c>
      <c r="C286" s="54">
        <v>27215844.710000001</v>
      </c>
      <c r="D286" s="50"/>
      <c r="E286" s="39">
        <f>SUM(J220:J243)</f>
        <v>18047627.170350999</v>
      </c>
      <c r="F286" s="68">
        <f t="shared" si="43"/>
        <v>5621091.2751643062</v>
      </c>
      <c r="G286" s="39">
        <f>(B286/B293)*G298</f>
        <v>23668718.445515305</v>
      </c>
      <c r="H286" s="54">
        <f>H330</f>
        <v>20554738.210000001</v>
      </c>
      <c r="I286" s="68">
        <f t="shared" si="42"/>
        <v>3113980.2355153039</v>
      </c>
    </row>
    <row r="287" spans="1:9">
      <c r="A287" s="32" t="s">
        <v>106</v>
      </c>
      <c r="B287" s="54">
        <v>5020650.6500000004</v>
      </c>
      <c r="C287" s="54">
        <v>4170062.01</v>
      </c>
      <c r="D287" s="50"/>
      <c r="E287" s="39">
        <f>SUM(J244:J247)</f>
        <v>2913199.331489</v>
      </c>
      <c r="F287" s="68">
        <f t="shared" si="43"/>
        <v>845526.5029783193</v>
      </c>
      <c r="G287" s="39">
        <f>(B287/B293)*G298</f>
        <v>3758725.8344673193</v>
      </c>
      <c r="H287" s="54">
        <f>E320</f>
        <v>665944.25000000012</v>
      </c>
      <c r="I287" s="68">
        <f t="shared" si="42"/>
        <v>3092781.5844673193</v>
      </c>
    </row>
    <row r="288" spans="1:9">
      <c r="A288" s="82" t="s">
        <v>110</v>
      </c>
      <c r="B288" s="54">
        <v>2471898.1</v>
      </c>
      <c r="C288" s="54">
        <v>1810655.75</v>
      </c>
      <c r="D288" s="50"/>
      <c r="E288" s="39">
        <f>J248</f>
        <v>1049142.281704</v>
      </c>
      <c r="F288" s="68">
        <f t="shared" si="43"/>
        <v>801451.97317423602</v>
      </c>
      <c r="G288" s="39">
        <f>(B288/B293)*G298</f>
        <v>1850594.254878236</v>
      </c>
      <c r="H288" s="54">
        <f>B331</f>
        <v>139012.24</v>
      </c>
      <c r="I288" s="68">
        <f t="shared" si="42"/>
        <v>1711582.014878236</v>
      </c>
    </row>
    <row r="289" spans="1:9">
      <c r="A289" s="82" t="s">
        <v>159</v>
      </c>
      <c r="B289" s="54">
        <v>3260024.34</v>
      </c>
      <c r="C289" s="54">
        <v>3009924.34</v>
      </c>
      <c r="D289" s="50"/>
      <c r="E289" s="39">
        <f>J249+J250</f>
        <v>22380.457709999999</v>
      </c>
      <c r="F289" s="68">
        <f t="shared" si="43"/>
        <v>2418246.9752603201</v>
      </c>
      <c r="G289" s="39">
        <f>(B289/B293)*G298</f>
        <v>2440627.4329703203</v>
      </c>
      <c r="H289" s="68">
        <f>G289</f>
        <v>2440627.4329703203</v>
      </c>
      <c r="I289" s="68">
        <f t="shared" si="42"/>
        <v>0</v>
      </c>
    </row>
    <row r="290" spans="1:9">
      <c r="A290" s="32" t="s">
        <v>151</v>
      </c>
      <c r="B290" s="32">
        <v>0.18</v>
      </c>
      <c r="C290" s="54">
        <v>372483.18</v>
      </c>
      <c r="D290" s="50"/>
      <c r="E290" s="32"/>
      <c r="F290" s="68">
        <f>G290-E290</f>
        <v>29053410.739999998</v>
      </c>
      <c r="G290" s="87">
        <v>29053410.739999998</v>
      </c>
      <c r="H290" s="68">
        <f>G290</f>
        <v>29053410.739999998</v>
      </c>
      <c r="I290" s="68">
        <f>G290-H290</f>
        <v>0</v>
      </c>
    </row>
    <row r="291" spans="1:9">
      <c r="A291" s="32" t="s">
        <v>51</v>
      </c>
      <c r="B291" s="54">
        <v>25810700.559999999</v>
      </c>
      <c r="C291" s="54">
        <v>25810700.559999999</v>
      </c>
      <c r="D291" s="50"/>
      <c r="E291" s="39">
        <f>C255</f>
        <v>26856171.895079996</v>
      </c>
      <c r="F291" s="68">
        <f t="shared" si="43"/>
        <v>14695861.574920002</v>
      </c>
      <c r="G291" s="39">
        <v>41552033.469999999</v>
      </c>
      <c r="H291" s="54">
        <f>B305</f>
        <v>41552033.469999999</v>
      </c>
      <c r="I291" s="68">
        <f t="shared" si="42"/>
        <v>0</v>
      </c>
    </row>
    <row r="292" spans="1:9">
      <c r="A292" s="32" t="s">
        <v>52</v>
      </c>
      <c r="B292" s="54">
        <v>6318211.3300000001</v>
      </c>
      <c r="C292" s="54">
        <v>4416737.33</v>
      </c>
      <c r="D292" s="50"/>
      <c r="E292" s="39"/>
      <c r="F292" s="68">
        <f t="shared" si="43"/>
        <v>4343603.46</v>
      </c>
      <c r="G292" s="39">
        <v>4343603.46</v>
      </c>
      <c r="H292" s="54">
        <f>B307</f>
        <v>4343603.46</v>
      </c>
      <c r="I292" s="68">
        <f t="shared" si="42"/>
        <v>0</v>
      </c>
    </row>
    <row r="293" spans="1:9">
      <c r="A293" s="32" t="s">
        <v>119</v>
      </c>
      <c r="B293" s="39">
        <f>SUM(B277:B292)</f>
        <v>156790047.97000003</v>
      </c>
      <c r="C293" s="39">
        <f>SUM(C277:C292)</f>
        <v>140377810.27000001</v>
      </c>
      <c r="E293" s="39">
        <f>SUM(E277:E292)</f>
        <v>108377707.66226298</v>
      </c>
      <c r="F293" s="39">
        <f>SUM(F277:F292)</f>
        <v>59899289.854510628</v>
      </c>
      <c r="G293" s="88">
        <f>SUM(G277:G292)</f>
        <v>168276997.51677361</v>
      </c>
      <c r="H293" s="95">
        <f>SUM(H277:H292)</f>
        <v>160180278.07056949</v>
      </c>
      <c r="I293" s="95">
        <f>SUM(I277:I292)</f>
        <v>8096719.4462041166</v>
      </c>
    </row>
    <row r="294" spans="1:9">
      <c r="B294" s="38">
        <f>156790047.97-B293</f>
        <v>0</v>
      </c>
      <c r="C294" s="38">
        <f>156790047.97-C293</f>
        <v>16412237.699999988</v>
      </c>
      <c r="E294" s="42">
        <f>J256-E293</f>
        <v>0</v>
      </c>
      <c r="G294" s="39">
        <f>168276997.52</f>
        <v>168276997.52000001</v>
      </c>
      <c r="H294" s="97">
        <v>168256997.52000001</v>
      </c>
    </row>
    <row r="295" spans="1:9">
      <c r="E295" s="42">
        <v>81396985.510000005</v>
      </c>
      <c r="G295" s="42">
        <f>G293-G294</f>
        <v>-3.2263994216918945E-3</v>
      </c>
      <c r="H295" s="42">
        <f>H293-H294</f>
        <v>-8076719.4494305253</v>
      </c>
    </row>
    <row r="296" spans="1:9">
      <c r="E296" s="38">
        <f>E293-E291</f>
        <v>81521535.767182976</v>
      </c>
      <c r="G296" s="42"/>
      <c r="H296" s="42"/>
    </row>
    <row r="297" spans="1:9">
      <c r="G297" s="42"/>
      <c r="H297" s="42"/>
    </row>
    <row r="298" spans="1:9">
      <c r="F298" s="71" t="s">
        <v>228</v>
      </c>
      <c r="G298" s="42">
        <f>168276997.43-(5000000+41552033.47+4343603.46)</f>
        <v>117381360.5</v>
      </c>
    </row>
    <row r="299" spans="1:9">
      <c r="F299" s="71" t="s">
        <v>227</v>
      </c>
      <c r="G299" s="42">
        <f>G298-G294</f>
        <v>-50895637.020000011</v>
      </c>
    </row>
    <row r="301" spans="1:9">
      <c r="A301" s="75" t="s">
        <v>163</v>
      </c>
      <c r="B301" s="75" t="s">
        <v>226</v>
      </c>
      <c r="D301" s="75" t="s">
        <v>163</v>
      </c>
      <c r="E301" s="75" t="s">
        <v>226</v>
      </c>
      <c r="G301" s="75" t="s">
        <v>163</v>
      </c>
      <c r="H301" s="75" t="s">
        <v>226</v>
      </c>
    </row>
    <row r="302" spans="1:9">
      <c r="A302" s="83" t="s">
        <v>164</v>
      </c>
      <c r="B302" s="84">
        <v>56843248.450000003</v>
      </c>
      <c r="D302" s="83" t="s">
        <v>165</v>
      </c>
      <c r="E302" s="85">
        <v>7881554.1500000004</v>
      </c>
      <c r="G302" s="83" t="s">
        <v>167</v>
      </c>
      <c r="H302" s="85">
        <v>13393213.189999999</v>
      </c>
    </row>
    <row r="303" spans="1:9">
      <c r="A303" s="83"/>
      <c r="B303" s="84"/>
      <c r="D303" s="83" t="s">
        <v>166</v>
      </c>
      <c r="E303" s="84">
        <v>25538225.289999999</v>
      </c>
      <c r="G303" s="83" t="s">
        <v>200</v>
      </c>
      <c r="H303" s="85">
        <v>1029.55</v>
      </c>
    </row>
    <row r="304" spans="1:9">
      <c r="D304" s="83" t="s">
        <v>169</v>
      </c>
      <c r="E304" s="84">
        <v>708428.80000000005</v>
      </c>
      <c r="G304" s="83" t="s">
        <v>201</v>
      </c>
      <c r="H304" s="84">
        <v>407763.24</v>
      </c>
    </row>
    <row r="305" spans="1:8">
      <c r="A305" s="83" t="s">
        <v>168</v>
      </c>
      <c r="B305" s="86">
        <v>41552033.469999999</v>
      </c>
      <c r="D305" s="83" t="s">
        <v>170</v>
      </c>
      <c r="E305" s="85">
        <v>1885106.21</v>
      </c>
      <c r="G305" s="83" t="s">
        <v>202</v>
      </c>
      <c r="H305" s="85">
        <v>83492.12</v>
      </c>
    </row>
    <row r="306" spans="1:8">
      <c r="D306" s="83" t="s">
        <v>171</v>
      </c>
      <c r="E306" s="84">
        <v>248820.16</v>
      </c>
      <c r="G306" s="83" t="s">
        <v>203</v>
      </c>
      <c r="H306" s="84">
        <v>5.24</v>
      </c>
    </row>
    <row r="307" spans="1:8">
      <c r="A307" s="83" t="s">
        <v>187</v>
      </c>
      <c r="B307" s="84">
        <v>4343603.46</v>
      </c>
      <c r="D307" s="83" t="s">
        <v>172</v>
      </c>
      <c r="E307" s="85">
        <v>15095.28</v>
      </c>
      <c r="G307" s="83" t="s">
        <v>204</v>
      </c>
      <c r="H307" s="85">
        <v>526998.13</v>
      </c>
    </row>
    <row r="308" spans="1:8">
      <c r="D308" s="83" t="s">
        <v>173</v>
      </c>
      <c r="E308" s="84">
        <v>2169051.4700000002</v>
      </c>
      <c r="G308" s="83" t="s">
        <v>205</v>
      </c>
      <c r="H308" s="84">
        <v>444.73</v>
      </c>
    </row>
    <row r="309" spans="1:8">
      <c r="A309" s="83" t="s">
        <v>188</v>
      </c>
      <c r="B309" s="85">
        <v>459.16</v>
      </c>
      <c r="D309" s="89" t="s">
        <v>174</v>
      </c>
      <c r="E309" s="90">
        <v>130.77000000000001</v>
      </c>
      <c r="G309" s="83" t="s">
        <v>206</v>
      </c>
      <c r="H309" s="85">
        <v>123574.42</v>
      </c>
    </row>
    <row r="310" spans="1:8">
      <c r="A310" s="83" t="s">
        <v>189</v>
      </c>
      <c r="B310" s="84">
        <v>76.680000000000007</v>
      </c>
      <c r="D310" s="39"/>
      <c r="E310" s="32"/>
      <c r="G310" s="83" t="s">
        <v>207</v>
      </c>
      <c r="H310" s="84">
        <v>36.049999999999997</v>
      </c>
    </row>
    <row r="311" spans="1:8">
      <c r="A311" s="83" t="s">
        <v>190</v>
      </c>
      <c r="B311" s="85">
        <v>1296.7</v>
      </c>
      <c r="D311" s="39" t="s">
        <v>230</v>
      </c>
      <c r="E311" s="54">
        <f>SUM(E302:E309)</f>
        <v>38446412.129999995</v>
      </c>
      <c r="G311" s="83" t="s">
        <v>208</v>
      </c>
      <c r="H311" s="85">
        <v>165443.76</v>
      </c>
    </row>
    <row r="312" spans="1:8">
      <c r="A312" s="83" t="s">
        <v>191</v>
      </c>
      <c r="B312" s="84">
        <v>5000002</v>
      </c>
      <c r="G312" s="83" t="s">
        <v>209</v>
      </c>
      <c r="H312" s="84">
        <v>5.2</v>
      </c>
    </row>
    <row r="313" spans="1:8">
      <c r="A313" s="83" t="s">
        <v>192</v>
      </c>
      <c r="B313" s="85">
        <v>206.74</v>
      </c>
      <c r="G313" s="83" t="s">
        <v>210</v>
      </c>
      <c r="H313" s="85">
        <v>448.37</v>
      </c>
    </row>
    <row r="314" spans="1:8">
      <c r="A314" s="83" t="s">
        <v>193</v>
      </c>
      <c r="B314" s="84">
        <v>639.71</v>
      </c>
      <c r="D314" s="83" t="s">
        <v>177</v>
      </c>
      <c r="E314" s="84">
        <v>587135.18000000005</v>
      </c>
      <c r="G314" s="83" t="s">
        <v>211</v>
      </c>
      <c r="H314" s="84">
        <v>24.92</v>
      </c>
    </row>
    <row r="315" spans="1:8">
      <c r="A315" s="83" t="s">
        <v>194</v>
      </c>
      <c r="B315" s="85">
        <v>583.28</v>
      </c>
      <c r="D315" s="83" t="s">
        <v>178</v>
      </c>
      <c r="E315" s="85">
        <v>499.28</v>
      </c>
      <c r="G315" s="83" t="s">
        <v>212</v>
      </c>
      <c r="H315" s="85">
        <v>74.89</v>
      </c>
    </row>
    <row r="316" spans="1:8">
      <c r="A316" s="83" t="s">
        <v>195</v>
      </c>
      <c r="B316" s="84">
        <v>864.74</v>
      </c>
      <c r="D316" s="89" t="s">
        <v>179</v>
      </c>
      <c r="E316" s="91">
        <v>78309.789999999994</v>
      </c>
      <c r="G316" s="83" t="s">
        <v>213</v>
      </c>
      <c r="H316" s="84">
        <v>1120.48</v>
      </c>
    </row>
    <row r="317" spans="1:8">
      <c r="A317" s="83" t="s">
        <v>196</v>
      </c>
      <c r="B317" s="85">
        <v>514.30999999999995</v>
      </c>
      <c r="D317" s="39"/>
      <c r="E317" s="32"/>
      <c r="G317" s="83" t="s">
        <v>214</v>
      </c>
      <c r="H317" s="85">
        <v>4318587.5</v>
      </c>
    </row>
    <row r="318" spans="1:8">
      <c r="A318" s="83" t="s">
        <v>197</v>
      </c>
      <c r="B318" s="84">
        <v>1401.18</v>
      </c>
      <c r="D318" s="39"/>
      <c r="E318" s="32"/>
      <c r="G318" s="83" t="s">
        <v>215</v>
      </c>
      <c r="H318" s="84">
        <v>728956.54</v>
      </c>
    </row>
    <row r="319" spans="1:8">
      <c r="A319" s="83" t="s">
        <v>198</v>
      </c>
      <c r="B319" s="85">
        <v>601.15</v>
      </c>
      <c r="D319" s="39"/>
      <c r="E319" s="32"/>
      <c r="G319" s="83" t="s">
        <v>216</v>
      </c>
      <c r="H319" s="85">
        <v>193352.25</v>
      </c>
    </row>
    <row r="320" spans="1:8">
      <c r="A320" s="89" t="s">
        <v>199</v>
      </c>
      <c r="B320" s="91">
        <v>19.29</v>
      </c>
      <c r="D320" s="39" t="s">
        <v>231</v>
      </c>
      <c r="E320" s="54">
        <f>SUM(E314:E319)</f>
        <v>665944.25000000012</v>
      </c>
      <c r="G320" s="83" t="s">
        <v>217</v>
      </c>
      <c r="H320" s="84">
        <v>295513.12</v>
      </c>
    </row>
    <row r="321" spans="1:8">
      <c r="A321" s="83" t="s">
        <v>180</v>
      </c>
      <c r="B321" s="85">
        <v>2</v>
      </c>
      <c r="G321" s="83" t="s">
        <v>218</v>
      </c>
      <c r="H321" s="85">
        <v>538.53</v>
      </c>
    </row>
    <row r="322" spans="1:8">
      <c r="A322" s="83" t="s">
        <v>181</v>
      </c>
      <c r="B322" s="84">
        <v>71732.3</v>
      </c>
      <c r="G322" s="83" t="s">
        <v>219</v>
      </c>
      <c r="H322" s="84">
        <v>155502.22</v>
      </c>
    </row>
    <row r="323" spans="1:8">
      <c r="A323" s="83" t="s">
        <v>182</v>
      </c>
      <c r="B323" s="85">
        <v>424723.11</v>
      </c>
      <c r="G323" s="83" t="s">
        <v>220</v>
      </c>
      <c r="H323" s="85">
        <v>155629.29</v>
      </c>
    </row>
    <row r="324" spans="1:8">
      <c r="A324" s="83" t="s">
        <v>186</v>
      </c>
      <c r="B324" s="85">
        <v>113709.75999999999</v>
      </c>
      <c r="G324" s="83" t="s">
        <v>221</v>
      </c>
      <c r="H324" s="84">
        <v>2.78</v>
      </c>
    </row>
    <row r="325" spans="1:8">
      <c r="A325" s="83" t="s">
        <v>184</v>
      </c>
      <c r="B325" s="85">
        <v>2</v>
      </c>
      <c r="D325" s="83" t="s">
        <v>183</v>
      </c>
      <c r="E325" s="84">
        <v>1752.55</v>
      </c>
      <c r="G325" s="83" t="s">
        <v>222</v>
      </c>
      <c r="H325" s="85">
        <v>821.23</v>
      </c>
    </row>
    <row r="326" spans="1:8">
      <c r="A326" s="32" t="s">
        <v>233</v>
      </c>
      <c r="B326" s="96">
        <f>SUM(B309:B325)</f>
        <v>5616834.1100000003</v>
      </c>
      <c r="D326" s="89" t="s">
        <v>185</v>
      </c>
      <c r="E326" s="91">
        <v>93418.65</v>
      </c>
      <c r="G326" s="83" t="s">
        <v>223</v>
      </c>
      <c r="H326" s="84">
        <v>1999.04</v>
      </c>
    </row>
    <row r="327" spans="1:8">
      <c r="D327" s="39"/>
      <c r="E327" s="32"/>
      <c r="G327" s="83" t="s">
        <v>224</v>
      </c>
      <c r="H327" s="85">
        <v>159.41999999999999</v>
      </c>
    </row>
    <row r="328" spans="1:8">
      <c r="A328" s="92" t="s">
        <v>175</v>
      </c>
      <c r="B328" s="93">
        <v>12.41</v>
      </c>
      <c r="D328" s="39" t="s">
        <v>235</v>
      </c>
      <c r="E328" s="96">
        <f>SUM(E325:E327)</f>
        <v>95171.199999999997</v>
      </c>
      <c r="G328" s="89" t="s">
        <v>225</v>
      </c>
      <c r="H328" s="91">
        <v>2</v>
      </c>
    </row>
    <row r="329" spans="1:8">
      <c r="A329" s="92" t="s">
        <v>176</v>
      </c>
      <c r="B329" s="94">
        <v>138999.82999999999</v>
      </c>
      <c r="G329" s="32"/>
      <c r="H329" s="32"/>
    </row>
    <row r="330" spans="1:8">
      <c r="A330" s="39"/>
      <c r="B330" s="32"/>
      <c r="G330" s="32" t="s">
        <v>229</v>
      </c>
      <c r="H330" s="54">
        <f>SUM(H302:H329)</f>
        <v>20554738.210000001</v>
      </c>
    </row>
    <row r="331" spans="1:8">
      <c r="A331" s="39" t="s">
        <v>232</v>
      </c>
      <c r="B331" s="96">
        <f>SUM(B328:B330)</f>
        <v>139012.24</v>
      </c>
    </row>
  </sheetData>
  <mergeCells count="1">
    <mergeCell ref="F103:H10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9:L309"/>
  <sheetViews>
    <sheetView topLeftCell="A238" workbookViewId="0">
      <selection activeCell="C105" sqref="C105"/>
    </sheetView>
  </sheetViews>
  <sheetFormatPr defaultRowHeight="8.25"/>
  <cols>
    <col min="1" max="1" width="10.42578125" style="31" customWidth="1"/>
    <col min="2" max="2" width="8.140625" style="31" customWidth="1"/>
    <col min="3" max="3" width="11" style="42" customWidth="1"/>
    <col min="4" max="4" width="7.5703125" style="42" bestFit="1" customWidth="1"/>
    <col min="5" max="5" width="8.7109375" style="31" bestFit="1" customWidth="1"/>
    <col min="6" max="6" width="9.140625" style="31" customWidth="1"/>
    <col min="7" max="7" width="9.28515625" style="31" customWidth="1"/>
    <col min="8" max="8" width="9.5703125" style="31" customWidth="1"/>
    <col min="9" max="9" width="8.85546875" style="31" customWidth="1"/>
    <col min="10" max="10" width="9.42578125" style="31" customWidth="1"/>
    <col min="11" max="16384" width="9.140625" style="31"/>
  </cols>
  <sheetData>
    <row r="9" spans="1:10">
      <c r="C9" s="34" t="s">
        <v>44</v>
      </c>
    </row>
    <row r="11" spans="1:10">
      <c r="E11" s="38"/>
    </row>
    <row r="12" spans="1:10">
      <c r="C12" s="41" t="s">
        <v>45</v>
      </c>
      <c r="E12" s="50"/>
    </row>
    <row r="13" spans="1:10" s="53" customFormat="1">
      <c r="A13" s="77" t="s">
        <v>46</v>
      </c>
      <c r="B13" s="77" t="s">
        <v>47</v>
      </c>
      <c r="C13" s="51" t="s">
        <v>48</v>
      </c>
      <c r="D13" s="51" t="s">
        <v>49</v>
      </c>
      <c r="E13" s="77" t="s">
        <v>50</v>
      </c>
      <c r="F13" s="77" t="s">
        <v>51</v>
      </c>
      <c r="G13" s="77" t="s">
        <v>52</v>
      </c>
      <c r="H13" s="77" t="s">
        <v>53</v>
      </c>
      <c r="I13" s="77" t="s">
        <v>54</v>
      </c>
      <c r="J13" s="78" t="s">
        <v>55</v>
      </c>
    </row>
    <row r="14" spans="1:10">
      <c r="A14" s="32" t="s">
        <v>56</v>
      </c>
      <c r="B14" s="54"/>
      <c r="C14" s="39">
        <v>103747.36</v>
      </c>
      <c r="D14" s="55">
        <f>1445.46</f>
        <v>1445.46</v>
      </c>
      <c r="E14" s="39">
        <v>8124.76</v>
      </c>
      <c r="F14" s="39">
        <v>9043.69</v>
      </c>
      <c r="G14" s="39">
        <v>574.86</v>
      </c>
      <c r="H14" s="39">
        <v>14929.53</v>
      </c>
      <c r="I14" s="39">
        <v>3293.18</v>
      </c>
      <c r="J14" s="39">
        <f>SUM(B14:I14)</f>
        <v>141158.84</v>
      </c>
    </row>
    <row r="15" spans="1:10">
      <c r="A15" s="32" t="s">
        <v>57</v>
      </c>
      <c r="B15" s="54">
        <v>9612.7199999999993</v>
      </c>
      <c r="C15" s="39"/>
      <c r="D15" s="39"/>
      <c r="E15" s="54">
        <v>2018.7</v>
      </c>
      <c r="F15" s="32"/>
      <c r="G15" s="32"/>
      <c r="H15" s="32"/>
      <c r="I15" s="32"/>
      <c r="J15" s="39">
        <f t="shared" ref="J15:J70" si="0">SUM(B15:I15)</f>
        <v>11631.42</v>
      </c>
    </row>
    <row r="16" spans="1:10">
      <c r="A16" s="32" t="s">
        <v>58</v>
      </c>
      <c r="B16" s="32"/>
      <c r="C16" s="39">
        <v>33674.69</v>
      </c>
      <c r="D16" s="39"/>
      <c r="E16" s="54">
        <v>2179.9499999999998</v>
      </c>
      <c r="F16" s="54">
        <v>3918.67</v>
      </c>
      <c r="G16" s="32">
        <v>605.65</v>
      </c>
      <c r="H16" s="54">
        <v>6468.98</v>
      </c>
      <c r="I16" s="54">
        <v>1796.28</v>
      </c>
      <c r="J16" s="39">
        <f t="shared" si="0"/>
        <v>48644.22</v>
      </c>
    </row>
    <row r="17" spans="1:11">
      <c r="A17" s="32" t="s">
        <v>59</v>
      </c>
      <c r="B17" s="32"/>
      <c r="C17" s="39">
        <v>83740.789999999994</v>
      </c>
      <c r="D17" s="39">
        <v>780.92</v>
      </c>
      <c r="E17" s="54">
        <v>2049.9499999999998</v>
      </c>
      <c r="F17" s="54">
        <v>12463.31</v>
      </c>
      <c r="G17" s="54">
        <v>2316.3200000000002</v>
      </c>
      <c r="H17" s="54">
        <v>20574.68</v>
      </c>
      <c r="I17" s="54">
        <v>5688.22</v>
      </c>
      <c r="J17" s="39">
        <f t="shared" si="0"/>
        <v>127614.19</v>
      </c>
    </row>
    <row r="18" spans="1:11">
      <c r="A18" s="32" t="s">
        <v>60</v>
      </c>
      <c r="B18" s="54">
        <v>4876.6000000000004</v>
      </c>
      <c r="C18" s="39"/>
      <c r="D18" s="39"/>
      <c r="E18" s="54">
        <v>1024.08</v>
      </c>
      <c r="F18" s="32"/>
      <c r="G18" s="32"/>
      <c r="H18" s="32"/>
      <c r="I18" s="32"/>
      <c r="J18" s="39">
        <f t="shared" si="0"/>
        <v>5900.68</v>
      </c>
    </row>
    <row r="19" spans="1:11">
      <c r="A19" s="32" t="s">
        <v>61</v>
      </c>
      <c r="B19" s="32"/>
      <c r="C19" s="39">
        <v>100856.72</v>
      </c>
      <c r="D19" s="39"/>
      <c r="E19" s="54">
        <v>1405.5</v>
      </c>
      <c r="F19" s="54">
        <v>14271.34</v>
      </c>
      <c r="G19" s="54">
        <v>3408.71</v>
      </c>
      <c r="H19" s="54">
        <v>23559.360000000001</v>
      </c>
      <c r="I19" s="54">
        <v>7185.12</v>
      </c>
      <c r="J19" s="39">
        <f t="shared" si="0"/>
        <v>150686.75</v>
      </c>
    </row>
    <row r="20" spans="1:11">
      <c r="A20" s="32" t="s">
        <v>62</v>
      </c>
      <c r="B20" s="54"/>
      <c r="C20" s="39">
        <v>130983.89</v>
      </c>
      <c r="D20" s="39"/>
      <c r="E20" s="54">
        <v>1405.51</v>
      </c>
      <c r="F20" s="54">
        <v>20757.419999999998</v>
      </c>
      <c r="G20" s="54">
        <v>2833.73</v>
      </c>
      <c r="H20" s="54">
        <v>34266.69</v>
      </c>
      <c r="I20" s="54">
        <v>8682.02</v>
      </c>
      <c r="J20" s="39">
        <f t="shared" si="0"/>
        <v>198929.26</v>
      </c>
    </row>
    <row r="21" spans="1:11">
      <c r="A21" s="32" t="s">
        <v>63</v>
      </c>
      <c r="B21" s="32"/>
      <c r="C21" s="39">
        <v>25822.35</v>
      </c>
      <c r="D21" s="39">
        <v>265.62</v>
      </c>
      <c r="E21" s="54">
        <v>3499.54</v>
      </c>
      <c r="F21" s="54">
        <v>1458.74</v>
      </c>
      <c r="G21" s="32">
        <v>211.14</v>
      </c>
      <c r="H21" s="56">
        <v>2408.1</v>
      </c>
      <c r="I21" s="54">
        <v>1197.52</v>
      </c>
      <c r="J21" s="39">
        <f t="shared" si="0"/>
        <v>34863.009999999995</v>
      </c>
    </row>
    <row r="22" spans="1:11">
      <c r="A22" s="32" t="s">
        <v>64</v>
      </c>
      <c r="B22" s="32"/>
      <c r="C22" s="39">
        <v>7217.49</v>
      </c>
      <c r="D22" s="39"/>
      <c r="E22" s="57">
        <v>439</v>
      </c>
      <c r="F22" s="54">
        <v>645.82000000000005</v>
      </c>
      <c r="G22" s="32"/>
      <c r="H22" s="54">
        <v>1066.1400000000001</v>
      </c>
      <c r="I22" s="32">
        <v>299.38</v>
      </c>
      <c r="J22" s="39">
        <f t="shared" si="0"/>
        <v>9667.8299999999981</v>
      </c>
      <c r="K22" s="58"/>
    </row>
    <row r="23" spans="1:11">
      <c r="A23" s="32" t="s">
        <v>65</v>
      </c>
      <c r="B23" s="32"/>
      <c r="C23" s="39">
        <v>279769.73</v>
      </c>
      <c r="D23" s="39">
        <v>714.32</v>
      </c>
      <c r="E23" s="54">
        <v>2941.91</v>
      </c>
      <c r="F23" s="54">
        <v>39623.21</v>
      </c>
      <c r="G23" s="54">
        <v>9026.4699999999993</v>
      </c>
      <c r="H23" s="54">
        <v>65410.44</v>
      </c>
      <c r="I23" s="54">
        <v>24249.78</v>
      </c>
      <c r="J23" s="39">
        <f>SUM(B23:I23)</f>
        <v>421735.86</v>
      </c>
    </row>
    <row r="24" spans="1:11">
      <c r="A24" s="32" t="s">
        <v>66</v>
      </c>
      <c r="B24" s="54">
        <v>16154.79</v>
      </c>
      <c r="C24" s="39"/>
      <c r="D24" s="39"/>
      <c r="E24" s="54">
        <v>3392.47</v>
      </c>
      <c r="F24" s="32"/>
      <c r="G24" s="32"/>
      <c r="H24" s="32"/>
      <c r="I24" s="32"/>
      <c r="J24" s="39">
        <f t="shared" si="0"/>
        <v>19547.260000000002</v>
      </c>
    </row>
    <row r="25" spans="1:11">
      <c r="A25" s="32" t="s">
        <v>67</v>
      </c>
      <c r="B25" s="32"/>
      <c r="C25" s="39">
        <v>24519.759999999998</v>
      </c>
      <c r="D25" s="39"/>
      <c r="E25" s="54"/>
      <c r="F25" s="54">
        <v>3544.07</v>
      </c>
      <c r="G25" s="32">
        <v>600.89</v>
      </c>
      <c r="H25" s="54">
        <v>5850.59</v>
      </c>
      <c r="I25" s="54">
        <v>1496.9</v>
      </c>
      <c r="J25" s="39">
        <f t="shared" si="0"/>
        <v>36012.21</v>
      </c>
    </row>
    <row r="26" spans="1:11">
      <c r="A26" s="32" t="s">
        <v>68</v>
      </c>
      <c r="B26" s="32"/>
      <c r="C26" s="39">
        <v>708816.48</v>
      </c>
      <c r="D26" s="39"/>
      <c r="E26" s="32"/>
      <c r="F26" s="54">
        <v>109675.85</v>
      </c>
      <c r="G26" s="54">
        <v>15657.35</v>
      </c>
      <c r="H26" s="54">
        <v>181054.72</v>
      </c>
      <c r="I26" s="54">
        <v>46703.28</v>
      </c>
      <c r="J26" s="39">
        <f t="shared" si="0"/>
        <v>1061907.68</v>
      </c>
    </row>
    <row r="27" spans="1:11">
      <c r="A27" s="32" t="s">
        <v>69</v>
      </c>
      <c r="B27" s="32"/>
      <c r="C27" s="39">
        <v>14137.14</v>
      </c>
      <c r="D27" s="39"/>
      <c r="E27" s="32"/>
      <c r="F27" s="54">
        <v>1682.59</v>
      </c>
      <c r="G27" s="32">
        <v>287.70999999999998</v>
      </c>
      <c r="H27" s="54">
        <v>2777.67</v>
      </c>
      <c r="I27" s="32">
        <v>598.76</v>
      </c>
      <c r="J27" s="39">
        <f t="shared" si="0"/>
        <v>19483.87</v>
      </c>
    </row>
    <row r="28" spans="1:11">
      <c r="A28" s="32" t="s">
        <v>70</v>
      </c>
      <c r="B28" s="32"/>
      <c r="C28" s="39">
        <v>128612.65</v>
      </c>
      <c r="D28" s="39"/>
      <c r="E28" s="32"/>
      <c r="F28" s="54">
        <v>18053.2</v>
      </c>
      <c r="G28" s="54">
        <v>2429.33</v>
      </c>
      <c r="H28" s="54">
        <v>29802.62</v>
      </c>
      <c r="I28" s="54">
        <v>8981.4</v>
      </c>
      <c r="J28" s="39">
        <f t="shared" si="0"/>
        <v>187879.19999999998</v>
      </c>
    </row>
    <row r="29" spans="1:11">
      <c r="A29" s="32" t="s">
        <v>71</v>
      </c>
      <c r="B29" s="32"/>
      <c r="C29" s="39">
        <v>154004.85</v>
      </c>
      <c r="D29" s="39">
        <v>376.58</v>
      </c>
      <c r="E29" s="32">
        <v>988.53</v>
      </c>
      <c r="F29" s="54">
        <v>24741.81</v>
      </c>
      <c r="G29" s="54">
        <v>3197.06</v>
      </c>
      <c r="H29" s="54">
        <v>40844.29</v>
      </c>
      <c r="I29" s="54">
        <v>9879.5400000000009</v>
      </c>
      <c r="J29" s="39">
        <f t="shared" si="0"/>
        <v>234032.66</v>
      </c>
    </row>
    <row r="30" spans="1:11">
      <c r="A30" s="32" t="s">
        <v>72</v>
      </c>
      <c r="B30" s="32"/>
      <c r="C30" s="39">
        <v>5968.98</v>
      </c>
      <c r="D30" s="39"/>
      <c r="E30" s="54"/>
      <c r="F30" s="32">
        <v>815.15</v>
      </c>
      <c r="G30" s="32">
        <v>238.75</v>
      </c>
      <c r="H30" s="54">
        <v>1345.65</v>
      </c>
      <c r="I30" s="32">
        <v>598.76</v>
      </c>
      <c r="J30" s="39">
        <f t="shared" si="0"/>
        <v>8967.2899999999991</v>
      </c>
    </row>
    <row r="31" spans="1:11">
      <c r="A31" s="32" t="s">
        <v>73</v>
      </c>
      <c r="B31" s="32"/>
      <c r="C31" s="39">
        <v>73239.990000000005</v>
      </c>
      <c r="D31" s="39"/>
      <c r="E31" s="54"/>
      <c r="F31" s="54">
        <v>10341.09</v>
      </c>
      <c r="G31" s="54">
        <v>2361.9899999999998</v>
      </c>
      <c r="H31" s="54">
        <v>17071.14</v>
      </c>
      <c r="I31" s="54">
        <v>8981.4</v>
      </c>
      <c r="J31" s="39">
        <f t="shared" si="0"/>
        <v>111995.61</v>
      </c>
    </row>
    <row r="32" spans="1:11">
      <c r="A32" s="32" t="s">
        <v>74</v>
      </c>
      <c r="B32" s="32"/>
      <c r="C32" s="39">
        <v>55295.16</v>
      </c>
      <c r="D32" s="39">
        <v>195.44</v>
      </c>
      <c r="E32" s="32">
        <v>513.05999999999995</v>
      </c>
      <c r="F32" s="54">
        <v>6684.9</v>
      </c>
      <c r="G32" s="54">
        <v>1709.36</v>
      </c>
      <c r="H32" s="54">
        <v>11035.59</v>
      </c>
      <c r="I32" s="54">
        <v>6286.98</v>
      </c>
      <c r="J32" s="39">
        <f t="shared" si="0"/>
        <v>81720.490000000005</v>
      </c>
    </row>
    <row r="33" spans="1:10">
      <c r="A33" s="32" t="s">
        <v>75</v>
      </c>
      <c r="B33" s="32"/>
      <c r="C33" s="39">
        <v>209815.31</v>
      </c>
      <c r="D33" s="39"/>
      <c r="E33" s="54"/>
      <c r="F33" s="54">
        <v>34028.879999999997</v>
      </c>
      <c r="G33" s="54">
        <v>5830.75</v>
      </c>
      <c r="H33" s="54">
        <v>56175.24</v>
      </c>
      <c r="I33" s="54">
        <v>19459.7</v>
      </c>
      <c r="J33" s="39">
        <f t="shared" si="0"/>
        <v>325309.88</v>
      </c>
    </row>
    <row r="34" spans="1:10">
      <c r="A34" s="32" t="s">
        <v>76</v>
      </c>
      <c r="B34" s="54">
        <v>21063.94</v>
      </c>
      <c r="C34" s="39"/>
      <c r="D34" s="39"/>
      <c r="E34" s="54">
        <v>4423.29</v>
      </c>
      <c r="F34" s="54"/>
      <c r="G34" s="32"/>
      <c r="H34" s="32"/>
      <c r="I34" s="32"/>
      <c r="J34" s="39">
        <f t="shared" si="0"/>
        <v>25487.23</v>
      </c>
    </row>
    <row r="35" spans="1:10">
      <c r="A35" s="32" t="s">
        <v>77</v>
      </c>
      <c r="B35" s="54">
        <v>92986.72</v>
      </c>
      <c r="C35" s="39"/>
      <c r="D35" s="39"/>
      <c r="E35" s="54">
        <v>19526.900000000001</v>
      </c>
      <c r="F35" s="32"/>
      <c r="G35" s="32"/>
      <c r="H35" s="32"/>
      <c r="I35" s="32"/>
      <c r="J35" s="39">
        <f t="shared" si="0"/>
        <v>112513.62</v>
      </c>
    </row>
    <row r="36" spans="1:10">
      <c r="A36" s="32" t="s">
        <v>78</v>
      </c>
      <c r="B36" s="32"/>
      <c r="C36" s="39">
        <v>15041.41</v>
      </c>
      <c r="D36" s="39"/>
      <c r="E36" s="54"/>
      <c r="F36" s="54">
        <v>2666.62</v>
      </c>
      <c r="G36" s="39">
        <v>601.6</v>
      </c>
      <c r="H36" s="54">
        <v>4402.05</v>
      </c>
      <c r="I36" s="54">
        <v>2694.42</v>
      </c>
      <c r="J36" s="39">
        <f t="shared" si="0"/>
        <v>25406.1</v>
      </c>
    </row>
    <row r="37" spans="1:10">
      <c r="A37" s="32" t="s">
        <v>79</v>
      </c>
      <c r="B37" s="54">
        <v>5394.41</v>
      </c>
      <c r="C37" s="39"/>
      <c r="D37" s="39"/>
      <c r="E37" s="54">
        <v>1132.8</v>
      </c>
      <c r="F37" s="32"/>
      <c r="G37" s="32"/>
      <c r="H37" s="32"/>
      <c r="I37" s="32"/>
      <c r="J37" s="39">
        <f t="shared" si="0"/>
        <v>6527.21</v>
      </c>
    </row>
    <row r="38" spans="1:10">
      <c r="A38" s="32" t="s">
        <v>80</v>
      </c>
      <c r="B38" s="32"/>
      <c r="C38" s="39">
        <v>79087.240000000005</v>
      </c>
      <c r="D38" s="39"/>
      <c r="E38" s="32"/>
      <c r="F38" s="54">
        <v>12048.07</v>
      </c>
      <c r="G38" s="54">
        <v>1734.82</v>
      </c>
      <c r="H38" s="54">
        <v>19889.150000000001</v>
      </c>
      <c r="I38" s="54">
        <v>5089.46</v>
      </c>
      <c r="J38" s="39">
        <f>SUM(B38:I38)</f>
        <v>117848.74</v>
      </c>
    </row>
    <row r="39" spans="1:10">
      <c r="A39" s="32" t="s">
        <v>81</v>
      </c>
      <c r="B39" s="32"/>
      <c r="C39" s="39">
        <v>76252.98</v>
      </c>
      <c r="D39" s="39"/>
      <c r="E39" s="54">
        <v>2243.17</v>
      </c>
      <c r="F39" s="54">
        <v>9205.9699999999993</v>
      </c>
      <c r="G39" s="54">
        <v>1051.06</v>
      </c>
      <c r="H39" s="54">
        <v>15197.43</v>
      </c>
      <c r="I39" s="54">
        <v>4490.7</v>
      </c>
      <c r="J39" s="39">
        <f t="shared" si="0"/>
        <v>108441.30999999998</v>
      </c>
    </row>
    <row r="40" spans="1:10">
      <c r="A40" s="32" t="s">
        <v>82</v>
      </c>
      <c r="B40" s="32"/>
      <c r="C40" s="39">
        <v>15481.4</v>
      </c>
      <c r="D40" s="39"/>
      <c r="E40" s="54"/>
      <c r="F40" s="54">
        <v>2277.1999999999998</v>
      </c>
      <c r="G40" s="32">
        <v>520.15</v>
      </c>
      <c r="H40" s="54">
        <v>3759.24</v>
      </c>
      <c r="I40" s="54">
        <v>1197.52</v>
      </c>
      <c r="J40" s="39">
        <f>SUM(B40:I40)</f>
        <v>23235.51</v>
      </c>
    </row>
    <row r="41" spans="1:10">
      <c r="A41" s="32" t="s">
        <v>83</v>
      </c>
      <c r="B41" s="32"/>
      <c r="C41" s="39">
        <v>20677.66</v>
      </c>
      <c r="D41" s="39"/>
      <c r="E41" s="54"/>
      <c r="F41" s="54">
        <v>2315.21</v>
      </c>
      <c r="G41" s="32">
        <v>619.99</v>
      </c>
      <c r="H41" s="54">
        <v>3822.01</v>
      </c>
      <c r="I41" s="32">
        <v>898.14</v>
      </c>
      <c r="J41" s="39">
        <f>SUM(B41:I41)</f>
        <v>28333.010000000002</v>
      </c>
    </row>
    <row r="42" spans="1:10">
      <c r="A42" s="32" t="s">
        <v>84</v>
      </c>
      <c r="B42" s="32"/>
      <c r="C42" s="39">
        <v>84001.97</v>
      </c>
      <c r="D42" s="39"/>
      <c r="E42" s="54"/>
      <c r="F42" s="54">
        <v>12572.04</v>
      </c>
      <c r="G42" s="54">
        <v>3104.28</v>
      </c>
      <c r="H42" s="54">
        <v>20753.939999999999</v>
      </c>
      <c r="I42" s="54">
        <v>10178.92</v>
      </c>
      <c r="J42" s="39">
        <f t="shared" si="0"/>
        <v>130611.15000000001</v>
      </c>
    </row>
    <row r="43" spans="1:10">
      <c r="A43" s="32" t="s">
        <v>85</v>
      </c>
      <c r="B43" s="32"/>
      <c r="C43" s="39">
        <v>25677.1</v>
      </c>
      <c r="D43" s="39"/>
      <c r="E43" s="32"/>
      <c r="F43" s="54">
        <v>3276.04</v>
      </c>
      <c r="G43" s="32">
        <v>328.5</v>
      </c>
      <c r="H43" s="54">
        <v>5408.17</v>
      </c>
      <c r="I43" s="54">
        <v>1197.52</v>
      </c>
      <c r="J43" s="39">
        <f t="shared" si="0"/>
        <v>35887.329999999994</v>
      </c>
    </row>
    <row r="44" spans="1:10">
      <c r="A44" s="32" t="s">
        <v>86</v>
      </c>
      <c r="B44" s="32"/>
      <c r="C44" s="39">
        <v>73429.259999999995</v>
      </c>
      <c r="D44" s="39"/>
      <c r="E44" s="32"/>
      <c r="F44" s="54">
        <v>11922.16</v>
      </c>
      <c r="G44" s="54">
        <v>2324.17</v>
      </c>
      <c r="H44" s="54">
        <v>19681.21</v>
      </c>
      <c r="I44" s="54">
        <v>4790.08</v>
      </c>
      <c r="J44" s="39">
        <f t="shared" si="0"/>
        <v>112146.87999999999</v>
      </c>
    </row>
    <row r="45" spans="1:10">
      <c r="A45" s="32" t="s">
        <v>87</v>
      </c>
      <c r="B45" s="32"/>
      <c r="C45" s="39">
        <v>235873.79</v>
      </c>
      <c r="D45" s="39"/>
      <c r="E45" s="54">
        <v>3771.41</v>
      </c>
      <c r="F45" s="54">
        <v>35827</v>
      </c>
      <c r="G45" s="54">
        <v>6704.39</v>
      </c>
      <c r="H45" s="54">
        <v>59143.8</v>
      </c>
      <c r="I45" s="54">
        <v>14969</v>
      </c>
      <c r="J45" s="39">
        <f t="shared" si="0"/>
        <v>356289.39</v>
      </c>
    </row>
    <row r="46" spans="1:10">
      <c r="A46" s="32" t="s">
        <v>88</v>
      </c>
      <c r="B46" s="32"/>
      <c r="C46" s="39">
        <v>7323.03</v>
      </c>
      <c r="D46" s="39"/>
      <c r="E46" s="32"/>
      <c r="F46" s="54">
        <v>1198.47</v>
      </c>
      <c r="G46" s="32">
        <v>292.91000000000003</v>
      </c>
      <c r="H46" s="54">
        <v>1978.45</v>
      </c>
      <c r="I46" s="32">
        <v>598.76</v>
      </c>
      <c r="J46" s="39">
        <f t="shared" si="0"/>
        <v>11391.62</v>
      </c>
    </row>
    <row r="47" spans="1:10">
      <c r="A47" s="32" t="s">
        <v>89</v>
      </c>
      <c r="B47" s="32"/>
      <c r="C47" s="39">
        <v>9098.2199999999993</v>
      </c>
      <c r="D47" s="39"/>
      <c r="E47" s="32"/>
      <c r="F47" s="54">
        <v>1315.08</v>
      </c>
      <c r="G47" s="32">
        <v>347.31</v>
      </c>
      <c r="H47" s="54">
        <v>2170.96</v>
      </c>
      <c r="I47" s="32">
        <v>598.76</v>
      </c>
      <c r="J47" s="39">
        <f t="shared" si="0"/>
        <v>13530.33</v>
      </c>
    </row>
    <row r="48" spans="1:10">
      <c r="A48" s="32" t="s">
        <v>90</v>
      </c>
      <c r="B48" s="32"/>
      <c r="C48" s="39">
        <v>145654.60999999999</v>
      </c>
      <c r="D48" s="39"/>
      <c r="E48" s="32"/>
      <c r="F48" s="54">
        <v>24003.72</v>
      </c>
      <c r="G48" s="54">
        <v>2211.23</v>
      </c>
      <c r="H48" s="54">
        <v>39625.85</v>
      </c>
      <c r="I48" s="54">
        <v>6586.36</v>
      </c>
      <c r="J48" s="39">
        <f t="shared" si="0"/>
        <v>218081.77</v>
      </c>
    </row>
    <row r="49" spans="1:10">
      <c r="A49" s="32" t="s">
        <v>91</v>
      </c>
      <c r="B49" s="32"/>
      <c r="C49" s="39">
        <v>14004.68</v>
      </c>
      <c r="D49" s="39"/>
      <c r="E49" s="54">
        <v>2940.96</v>
      </c>
      <c r="F49" s="54"/>
      <c r="G49" s="32"/>
      <c r="H49" s="32"/>
      <c r="I49" s="32"/>
      <c r="J49" s="39">
        <f t="shared" si="0"/>
        <v>16945.64</v>
      </c>
    </row>
    <row r="50" spans="1:10">
      <c r="A50" s="32" t="s">
        <v>92</v>
      </c>
      <c r="B50" s="32"/>
      <c r="C50" s="39">
        <v>21987.86</v>
      </c>
      <c r="D50" s="39"/>
      <c r="E50" s="32"/>
      <c r="F50" s="54">
        <v>3974.14</v>
      </c>
      <c r="G50" s="32">
        <v>879.51</v>
      </c>
      <c r="H50" s="54">
        <v>6560.6</v>
      </c>
      <c r="I50" s="54">
        <v>1197.52</v>
      </c>
      <c r="J50" s="39">
        <f t="shared" si="0"/>
        <v>34599.629999999997</v>
      </c>
    </row>
    <row r="51" spans="1:10">
      <c r="A51" s="32" t="s">
        <v>93</v>
      </c>
      <c r="B51" s="32"/>
      <c r="C51" s="39">
        <v>5787.2</v>
      </c>
      <c r="D51" s="39"/>
      <c r="E51" s="40"/>
      <c r="F51" s="32">
        <v>487.41</v>
      </c>
      <c r="G51" s="32"/>
      <c r="H51" s="32">
        <v>804.63</v>
      </c>
      <c r="I51" s="40">
        <v>299.38</v>
      </c>
      <c r="J51" s="39">
        <f>SUM(B51:I51)</f>
        <v>7378.62</v>
      </c>
    </row>
    <row r="52" spans="1:10">
      <c r="A52" s="32" t="s">
        <v>94</v>
      </c>
      <c r="B52" s="39">
        <v>2658.3</v>
      </c>
      <c r="C52" s="39"/>
      <c r="D52" s="39"/>
      <c r="E52" s="32">
        <v>558.26</v>
      </c>
      <c r="F52" s="32"/>
      <c r="G52" s="32"/>
      <c r="H52" s="32"/>
      <c r="I52" s="32"/>
      <c r="J52" s="39">
        <f t="shared" si="0"/>
        <v>3216.5600000000004</v>
      </c>
    </row>
    <row r="53" spans="1:10">
      <c r="A53" s="32" t="s">
        <v>95</v>
      </c>
      <c r="B53" s="32"/>
      <c r="C53" s="39">
        <v>17176.3</v>
      </c>
      <c r="D53" s="39"/>
      <c r="E53" s="32"/>
      <c r="F53" s="54">
        <v>2249.77</v>
      </c>
      <c r="G53" s="32">
        <v>221.23</v>
      </c>
      <c r="H53" s="54">
        <v>3713.97</v>
      </c>
      <c r="I53" s="54">
        <v>1197.52</v>
      </c>
      <c r="J53" s="39">
        <f t="shared" si="0"/>
        <v>24558.79</v>
      </c>
    </row>
    <row r="54" spans="1:10">
      <c r="A54" s="32" t="s">
        <v>96</v>
      </c>
      <c r="B54" s="32"/>
      <c r="C54" s="39">
        <v>18536.95</v>
      </c>
      <c r="D54" s="39"/>
      <c r="E54" s="32"/>
      <c r="F54" s="54">
        <v>2732.83</v>
      </c>
      <c r="G54" s="32">
        <v>767.79</v>
      </c>
      <c r="H54" s="54">
        <v>4511.3500000000004</v>
      </c>
      <c r="I54" s="54">
        <v>2095.66</v>
      </c>
      <c r="J54" s="39">
        <f t="shared" si="0"/>
        <v>28644.579999999998</v>
      </c>
    </row>
    <row r="55" spans="1:10">
      <c r="A55" s="32" t="s">
        <v>97</v>
      </c>
      <c r="B55" s="32"/>
      <c r="C55" s="39">
        <v>17135.919999999998</v>
      </c>
      <c r="D55" s="39"/>
      <c r="E55" s="32"/>
      <c r="F55" s="54">
        <v>2511.85</v>
      </c>
      <c r="G55" s="32">
        <v>685.43</v>
      </c>
      <c r="H55" s="54">
        <v>4146.6000000000004</v>
      </c>
      <c r="I55" s="32">
        <v>898.14</v>
      </c>
      <c r="J55" s="39">
        <f>SUM(B55:I55)</f>
        <v>25377.939999999995</v>
      </c>
    </row>
    <row r="56" spans="1:10">
      <c r="A56" s="32" t="s">
        <v>98</v>
      </c>
      <c r="B56" s="32"/>
      <c r="C56" s="39">
        <v>15686.06</v>
      </c>
      <c r="D56" s="39"/>
      <c r="E56" s="32"/>
      <c r="F56" s="54">
        <v>2543.9299999999998</v>
      </c>
      <c r="G56" s="32">
        <v>352.48</v>
      </c>
      <c r="H56" s="54">
        <v>4199.5200000000004</v>
      </c>
      <c r="I56" s="54">
        <v>1197.52</v>
      </c>
      <c r="J56" s="39">
        <f t="shared" si="0"/>
        <v>23979.51</v>
      </c>
    </row>
    <row r="57" spans="1:10">
      <c r="A57" s="32" t="s">
        <v>99</v>
      </c>
      <c r="B57" s="39">
        <v>6773.46</v>
      </c>
      <c r="C57" s="39"/>
      <c r="D57" s="39"/>
      <c r="E57" s="54">
        <v>1422.42</v>
      </c>
      <c r="F57" s="32"/>
      <c r="G57" s="32"/>
      <c r="H57" s="32"/>
      <c r="I57" s="32"/>
      <c r="J57" s="39">
        <f t="shared" si="0"/>
        <v>8195.880000000001</v>
      </c>
    </row>
    <row r="58" spans="1:10">
      <c r="A58" s="32" t="s">
        <v>100</v>
      </c>
      <c r="B58" s="32"/>
      <c r="C58" s="39">
        <v>5909.1</v>
      </c>
      <c r="D58" s="39"/>
      <c r="E58" s="32"/>
      <c r="F58" s="32">
        <v>633.63</v>
      </c>
      <c r="G58" s="32"/>
      <c r="H58" s="54">
        <v>1046.02</v>
      </c>
      <c r="I58" s="32">
        <v>299.38</v>
      </c>
      <c r="J58" s="39">
        <f t="shared" si="0"/>
        <v>7888.13</v>
      </c>
    </row>
    <row r="59" spans="1:10">
      <c r="A59" s="32" t="s">
        <v>101</v>
      </c>
      <c r="B59" s="54"/>
      <c r="C59" s="39">
        <v>9311.66</v>
      </c>
      <c r="D59" s="39"/>
      <c r="E59" s="54"/>
      <c r="F59" s="54">
        <v>1578.49</v>
      </c>
      <c r="G59" s="32">
        <v>191.11</v>
      </c>
      <c r="H59" s="54">
        <v>2605.79</v>
      </c>
      <c r="I59" s="32">
        <v>299.38</v>
      </c>
      <c r="J59" s="39">
        <f t="shared" si="0"/>
        <v>13986.429999999998</v>
      </c>
    </row>
    <row r="60" spans="1:10">
      <c r="A60" s="32" t="s">
        <v>102</v>
      </c>
      <c r="B60" s="32"/>
      <c r="C60" s="39">
        <v>26402.94</v>
      </c>
      <c r="D60" s="39"/>
      <c r="E60" s="32"/>
      <c r="F60" s="54">
        <v>3823.31</v>
      </c>
      <c r="G60" s="32">
        <v>567.64</v>
      </c>
      <c r="H60" s="54">
        <v>6311.59</v>
      </c>
      <c r="I60" s="54">
        <v>1796.28</v>
      </c>
      <c r="J60" s="39">
        <f t="shared" si="0"/>
        <v>38901.759999999995</v>
      </c>
    </row>
    <row r="61" spans="1:10">
      <c r="A61" s="32" t="s">
        <v>103</v>
      </c>
      <c r="B61" s="54">
        <v>17719.62</v>
      </c>
      <c r="C61" s="39"/>
      <c r="D61" s="39"/>
      <c r="E61" s="54">
        <v>3721.13</v>
      </c>
      <c r="F61" s="32"/>
      <c r="G61" s="32"/>
      <c r="H61" s="32"/>
      <c r="I61" s="32"/>
      <c r="J61" s="39">
        <f t="shared" si="0"/>
        <v>21440.75</v>
      </c>
    </row>
    <row r="62" spans="1:10">
      <c r="A62" s="32" t="s">
        <v>104</v>
      </c>
      <c r="B62" s="54">
        <v>16432.189999999999</v>
      </c>
      <c r="C62" s="39"/>
      <c r="D62" s="39"/>
      <c r="E62" s="54">
        <v>3450.74</v>
      </c>
      <c r="F62" s="32"/>
      <c r="G62" s="32"/>
      <c r="H62" s="32"/>
      <c r="I62" s="32"/>
      <c r="J62" s="39">
        <f t="shared" si="0"/>
        <v>19882.93</v>
      </c>
    </row>
    <row r="63" spans="1:10">
      <c r="A63" s="32" t="s">
        <v>105</v>
      </c>
      <c r="B63" s="54"/>
      <c r="C63" s="54">
        <v>16162.5</v>
      </c>
      <c r="D63" s="39">
        <v>1293</v>
      </c>
      <c r="E63" s="54">
        <v>3394.29</v>
      </c>
      <c r="F63" s="32"/>
      <c r="G63" s="32"/>
      <c r="H63" s="32"/>
      <c r="I63" s="32"/>
      <c r="J63" s="39">
        <f t="shared" si="0"/>
        <v>20849.79</v>
      </c>
    </row>
    <row r="64" spans="1:10">
      <c r="A64" s="32" t="s">
        <v>106</v>
      </c>
      <c r="B64" s="32"/>
      <c r="C64" s="39">
        <v>135349.34</v>
      </c>
      <c r="D64" s="39">
        <v>381.51</v>
      </c>
      <c r="E64" s="54">
        <v>8915.1299999999992</v>
      </c>
      <c r="F64" s="54">
        <v>13781.51</v>
      </c>
      <c r="G64" s="54">
        <v>2042.09</v>
      </c>
      <c r="H64" s="54">
        <v>22750.76</v>
      </c>
      <c r="I64" s="54">
        <v>6286.98</v>
      </c>
      <c r="J64" s="39">
        <f t="shared" si="0"/>
        <v>189507.32000000004</v>
      </c>
    </row>
    <row r="65" spans="1:10">
      <c r="A65" s="32" t="s">
        <v>107</v>
      </c>
      <c r="B65" s="54">
        <v>1155.93</v>
      </c>
      <c r="C65" s="39"/>
      <c r="D65" s="39"/>
      <c r="E65" s="39">
        <v>242.73</v>
      </c>
      <c r="F65" s="32"/>
      <c r="G65" s="32"/>
      <c r="H65" s="32"/>
      <c r="I65" s="32"/>
      <c r="J65" s="39">
        <f t="shared" si="0"/>
        <v>1398.66</v>
      </c>
    </row>
    <row r="66" spans="1:10">
      <c r="A66" s="32" t="s">
        <v>108</v>
      </c>
      <c r="B66" s="32"/>
      <c r="C66" s="39">
        <v>1782.74</v>
      </c>
      <c r="D66" s="39"/>
      <c r="E66" s="32"/>
      <c r="F66" s="32">
        <v>356.37</v>
      </c>
      <c r="G66" s="39">
        <v>71.3</v>
      </c>
      <c r="H66" s="39">
        <v>588.29999999999995</v>
      </c>
      <c r="I66" s="32">
        <v>299.38</v>
      </c>
      <c r="J66" s="39">
        <f t="shared" si="0"/>
        <v>3098.09</v>
      </c>
    </row>
    <row r="67" spans="1:10">
      <c r="A67" s="32" t="s">
        <v>109</v>
      </c>
      <c r="B67" s="54">
        <v>3535.53</v>
      </c>
      <c r="C67" s="39"/>
      <c r="D67" s="39"/>
      <c r="E67" s="32">
        <v>742.47</v>
      </c>
      <c r="F67" s="32"/>
      <c r="G67" s="32"/>
      <c r="H67" s="32"/>
      <c r="I67" s="32"/>
      <c r="J67" s="39">
        <f t="shared" si="0"/>
        <v>4278</v>
      </c>
    </row>
    <row r="68" spans="1:10">
      <c r="A68" s="32" t="s">
        <v>110</v>
      </c>
      <c r="B68" s="32"/>
      <c r="C68" s="39">
        <v>48689.72</v>
      </c>
      <c r="D68" s="39"/>
      <c r="E68" s="32">
        <v>711.22</v>
      </c>
      <c r="F68" s="54">
        <v>6499.47</v>
      </c>
      <c r="G68" s="54">
        <v>1213.04</v>
      </c>
      <c r="H68" s="54">
        <v>10729.48</v>
      </c>
      <c r="I68" s="54">
        <v>2694.42</v>
      </c>
      <c r="J68" s="39">
        <f t="shared" si="0"/>
        <v>70537.350000000006</v>
      </c>
    </row>
    <row r="69" spans="1:10">
      <c r="A69" s="32" t="s">
        <v>111</v>
      </c>
      <c r="B69" s="32"/>
      <c r="C69" s="39">
        <v>1335.92</v>
      </c>
      <c r="D69" s="39"/>
      <c r="E69" s="32"/>
      <c r="F69" s="54"/>
      <c r="G69" s="54"/>
      <c r="H69" s="54"/>
      <c r="I69" s="54"/>
      <c r="J69" s="39">
        <f t="shared" si="0"/>
        <v>1335.92</v>
      </c>
    </row>
    <row r="70" spans="1:10">
      <c r="A70" s="32" t="s">
        <v>112</v>
      </c>
      <c r="B70" s="54">
        <v>1655.67</v>
      </c>
      <c r="C70" s="39"/>
      <c r="D70" s="39"/>
      <c r="E70" s="32"/>
      <c r="F70" s="54"/>
      <c r="G70" s="54">
        <v>54.18</v>
      </c>
      <c r="H70" s="54"/>
      <c r="I70" s="54"/>
      <c r="J70" s="39">
        <f t="shared" si="0"/>
        <v>1709.8500000000001</v>
      </c>
    </row>
    <row r="71" spans="1:10">
      <c r="B71" s="42">
        <f t="shared" ref="B71:I71" si="1">SUM(B14:B70)</f>
        <v>200019.88</v>
      </c>
      <c r="C71" s="42">
        <f t="shared" si="1"/>
        <v>3283080.9000000004</v>
      </c>
      <c r="D71" s="42">
        <f t="shared" si="1"/>
        <v>5452.85</v>
      </c>
      <c r="E71" s="42">
        <f t="shared" si="1"/>
        <v>87179.88</v>
      </c>
      <c r="F71" s="42">
        <f t="shared" si="1"/>
        <v>471550.02999999991</v>
      </c>
      <c r="G71" s="42">
        <f t="shared" si="1"/>
        <v>78176.279999999941</v>
      </c>
      <c r="H71" s="42">
        <f t="shared" si="1"/>
        <v>778442.29999999993</v>
      </c>
      <c r="I71" s="42">
        <f t="shared" si="1"/>
        <v>227229.42</v>
      </c>
      <c r="J71" s="42">
        <f>SUM(J14:J70)</f>
        <v>5131131.5399999982</v>
      </c>
    </row>
    <row r="72" spans="1:10">
      <c r="A72" s="31" t="s">
        <v>113</v>
      </c>
      <c r="C72" s="42">
        <f>3483100.78-(B71+C71)</f>
        <v>0</v>
      </c>
      <c r="D72" s="42">
        <f>4007.39-D71</f>
        <v>-1445.4600000000005</v>
      </c>
      <c r="E72" s="38">
        <f>86740.88-E71</f>
        <v>-439</v>
      </c>
      <c r="F72" s="38">
        <f>471550.03-F71</f>
        <v>0</v>
      </c>
      <c r="G72" s="38">
        <f>78176.28-G71</f>
        <v>0</v>
      </c>
      <c r="H72" s="38">
        <f>778442.3-H71</f>
        <v>0</v>
      </c>
      <c r="I72" s="38">
        <f>227229.42-I71</f>
        <v>0</v>
      </c>
    </row>
    <row r="74" spans="1:10">
      <c r="A74" s="77" t="s">
        <v>114</v>
      </c>
      <c r="B74" s="77" t="s">
        <v>47</v>
      </c>
      <c r="C74" s="51" t="s">
        <v>48</v>
      </c>
      <c r="D74" s="51" t="s">
        <v>49</v>
      </c>
      <c r="E74" s="77" t="s">
        <v>50</v>
      </c>
      <c r="F74" s="77" t="s">
        <v>51</v>
      </c>
      <c r="G74" s="77" t="s">
        <v>52</v>
      </c>
      <c r="H74" s="77" t="s">
        <v>53</v>
      </c>
      <c r="I74" s="77" t="s">
        <v>54</v>
      </c>
      <c r="J74" s="78" t="s">
        <v>115</v>
      </c>
    </row>
    <row r="75" spans="1:10">
      <c r="A75" s="78" t="s">
        <v>116</v>
      </c>
      <c r="B75" s="32"/>
      <c r="C75" s="39">
        <f>214871</f>
        <v>214871</v>
      </c>
      <c r="D75" s="39"/>
      <c r="E75" s="32"/>
      <c r="F75" s="54">
        <v>8039.02</v>
      </c>
      <c r="G75" s="54">
        <v>5917.61</v>
      </c>
      <c r="H75" s="54">
        <v>13271.17</v>
      </c>
      <c r="I75" s="32"/>
      <c r="J75" s="39">
        <f>SUM(B75:I75)</f>
        <v>242098.8</v>
      </c>
    </row>
    <row r="76" spans="1:10">
      <c r="A76" s="77" t="s">
        <v>117</v>
      </c>
      <c r="B76" s="32"/>
      <c r="C76" s="39">
        <f>1651696.41</f>
        <v>1651696.41</v>
      </c>
      <c r="D76" s="39"/>
      <c r="E76" s="32"/>
      <c r="F76" s="54">
        <v>131305.35</v>
      </c>
      <c r="G76" s="54">
        <v>47461.58</v>
      </c>
      <c r="H76" s="54">
        <f>216763.39</f>
        <v>216763.39</v>
      </c>
      <c r="I76" s="32"/>
      <c r="J76" s="39">
        <f>SUM(B76:I76)</f>
        <v>2047226.73</v>
      </c>
    </row>
    <row r="77" spans="1:10">
      <c r="A77" s="59" t="s">
        <v>118</v>
      </c>
      <c r="B77" s="60">
        <f t="shared" ref="B77:G77" si="2">SUM(B75:B76)</f>
        <v>0</v>
      </c>
      <c r="C77" s="60">
        <f t="shared" si="2"/>
        <v>1866567.41</v>
      </c>
      <c r="D77" s="60">
        <f t="shared" si="2"/>
        <v>0</v>
      </c>
      <c r="E77" s="60">
        <f t="shared" si="2"/>
        <v>0</v>
      </c>
      <c r="F77" s="60">
        <f t="shared" si="2"/>
        <v>139344.37</v>
      </c>
      <c r="G77" s="60">
        <f t="shared" si="2"/>
        <v>53379.19</v>
      </c>
      <c r="H77" s="60">
        <f>SUM(H75:H76)</f>
        <v>230034.56000000003</v>
      </c>
      <c r="I77" s="32"/>
      <c r="J77" s="39">
        <f>SUM(B77:I77)</f>
        <v>2289325.5299999998</v>
      </c>
    </row>
    <row r="80" spans="1:10">
      <c r="A80" s="61" t="s">
        <v>119</v>
      </c>
      <c r="B80" s="35"/>
      <c r="C80" s="62"/>
      <c r="D80" s="62"/>
      <c r="E80" s="35"/>
      <c r="F80" s="35"/>
      <c r="G80" s="35"/>
      <c r="H80" s="35"/>
      <c r="I80" s="35"/>
      <c r="J80" s="63">
        <f>J71+J77</f>
        <v>7420457.0699999984</v>
      </c>
    </row>
    <row r="100" spans="1:10">
      <c r="E100" s="50"/>
    </row>
    <row r="101" spans="1:10">
      <c r="C101" s="41" t="s">
        <v>120</v>
      </c>
    </row>
    <row r="103" spans="1:10">
      <c r="B103" s="71" t="s">
        <v>155</v>
      </c>
      <c r="C103" s="66">
        <v>4.5600000000000002E-2</v>
      </c>
      <c r="D103" s="42" t="s">
        <v>154</v>
      </c>
      <c r="F103" s="79"/>
      <c r="G103" s="81"/>
      <c r="H103" s="80" t="s">
        <v>121</v>
      </c>
    </row>
    <row r="104" spans="1:10">
      <c r="A104" s="77" t="s">
        <v>46</v>
      </c>
      <c r="B104" s="77" t="s">
        <v>47</v>
      </c>
      <c r="C104" s="51" t="s">
        <v>48</v>
      </c>
      <c r="D104" s="51" t="s">
        <v>49</v>
      </c>
      <c r="E104" s="77" t="s">
        <v>50</v>
      </c>
      <c r="F104" s="77" t="s">
        <v>51</v>
      </c>
      <c r="G104" s="77" t="s">
        <v>52</v>
      </c>
      <c r="H104" s="77" t="s">
        <v>53</v>
      </c>
      <c r="I104" s="77" t="s">
        <v>54</v>
      </c>
      <c r="J104" s="77" t="s">
        <v>122</v>
      </c>
    </row>
    <row r="105" spans="1:10">
      <c r="A105" s="32" t="s">
        <v>56</v>
      </c>
      <c r="B105" s="64">
        <v>10</v>
      </c>
      <c r="C105" s="51">
        <f>12+1+0.3333+0.27+((0.086+0.0456)*13)</f>
        <v>15.3141</v>
      </c>
      <c r="D105" s="51">
        <f t="shared" ref="D105:E115" si="3">12+1+0.3333+0.27+((0.086+0.0456)*13)</f>
        <v>15.3141</v>
      </c>
      <c r="E105" s="51">
        <f t="shared" si="3"/>
        <v>15.3141</v>
      </c>
      <c r="F105" s="39">
        <f t="shared" ref="F105:F161" si="4">F14/0.1999</f>
        <v>45241.070535267638</v>
      </c>
      <c r="G105" s="39">
        <f t="shared" ref="G105:G161" si="5">G14/0.04</f>
        <v>14371.5</v>
      </c>
      <c r="H105" s="39">
        <f t="shared" ref="H105:H161" si="6">H14/0.33</f>
        <v>45241</v>
      </c>
      <c r="I105" s="51">
        <f>13.2</f>
        <v>13.2</v>
      </c>
      <c r="J105" s="39">
        <f>1354.64</f>
        <v>1354.64</v>
      </c>
    </row>
    <row r="106" spans="1:10">
      <c r="A106" s="32" t="s">
        <v>57</v>
      </c>
      <c r="B106" s="64">
        <v>10</v>
      </c>
      <c r="C106" s="51">
        <f t="shared" ref="C106:E159" si="7">12+1+0.3333+0.27+((0.086+0.0456)*13)</f>
        <v>15.3141</v>
      </c>
      <c r="D106" s="51">
        <f t="shared" si="3"/>
        <v>15.3141</v>
      </c>
      <c r="E106" s="51">
        <f t="shared" si="3"/>
        <v>15.3141</v>
      </c>
      <c r="F106" s="39">
        <f t="shared" si="4"/>
        <v>0</v>
      </c>
      <c r="G106" s="39">
        <f t="shared" si="5"/>
        <v>0</v>
      </c>
      <c r="H106" s="39">
        <f t="shared" si="6"/>
        <v>0</v>
      </c>
      <c r="I106" s="51">
        <f t="shared" ref="I106:I159" si="8">13.2</f>
        <v>13.2</v>
      </c>
      <c r="J106" s="39"/>
    </row>
    <row r="107" spans="1:10">
      <c r="A107" s="32" t="s">
        <v>58</v>
      </c>
      <c r="B107" s="64">
        <v>10</v>
      </c>
      <c r="C107" s="51">
        <f t="shared" si="7"/>
        <v>15.3141</v>
      </c>
      <c r="D107" s="51">
        <f t="shared" si="3"/>
        <v>15.3141</v>
      </c>
      <c r="E107" s="51">
        <f t="shared" si="3"/>
        <v>15.3141</v>
      </c>
      <c r="F107" s="39">
        <f t="shared" si="4"/>
        <v>19603.151575787895</v>
      </c>
      <c r="G107" s="39">
        <f t="shared" si="5"/>
        <v>15141.25</v>
      </c>
      <c r="H107" s="39">
        <f t="shared" si="6"/>
        <v>19602.969696969696</v>
      </c>
      <c r="I107" s="51">
        <f t="shared" si="8"/>
        <v>13.2</v>
      </c>
      <c r="J107" s="39">
        <v>752.58</v>
      </c>
    </row>
    <row r="108" spans="1:10">
      <c r="A108" s="32" t="s">
        <v>59</v>
      </c>
      <c r="B108" s="64">
        <v>10</v>
      </c>
      <c r="C108" s="51">
        <f t="shared" si="7"/>
        <v>15.3141</v>
      </c>
      <c r="D108" s="51">
        <f t="shared" si="3"/>
        <v>15.3141</v>
      </c>
      <c r="E108" s="51">
        <f t="shared" si="3"/>
        <v>15.3141</v>
      </c>
      <c r="F108" s="39">
        <f t="shared" si="4"/>
        <v>62347.723861930965</v>
      </c>
      <c r="G108" s="39">
        <f t="shared" si="5"/>
        <v>57908</v>
      </c>
      <c r="H108" s="39">
        <f t="shared" si="6"/>
        <v>62347.515151515152</v>
      </c>
      <c r="I108" s="51">
        <f t="shared" si="8"/>
        <v>13.2</v>
      </c>
      <c r="J108" s="39">
        <v>2107.23</v>
      </c>
    </row>
    <row r="109" spans="1:10">
      <c r="A109" s="32" t="s">
        <v>60</v>
      </c>
      <c r="B109" s="64">
        <v>10</v>
      </c>
      <c r="C109" s="51">
        <f t="shared" si="7"/>
        <v>15.3141</v>
      </c>
      <c r="D109" s="51">
        <f t="shared" si="3"/>
        <v>15.3141</v>
      </c>
      <c r="E109" s="51">
        <f t="shared" si="3"/>
        <v>15.3141</v>
      </c>
      <c r="F109" s="39">
        <f t="shared" si="4"/>
        <v>0</v>
      </c>
      <c r="G109" s="39">
        <f t="shared" si="5"/>
        <v>0</v>
      </c>
      <c r="H109" s="39">
        <f t="shared" si="6"/>
        <v>0</v>
      </c>
      <c r="I109" s="51">
        <f t="shared" si="8"/>
        <v>13.2</v>
      </c>
      <c r="J109" s="39"/>
    </row>
    <row r="110" spans="1:10">
      <c r="A110" s="32" t="s">
        <v>61</v>
      </c>
      <c r="B110" s="64">
        <v>10</v>
      </c>
      <c r="C110" s="51">
        <f t="shared" si="7"/>
        <v>15.3141</v>
      </c>
      <c r="D110" s="51">
        <f t="shared" si="3"/>
        <v>15.3141</v>
      </c>
      <c r="E110" s="51">
        <f t="shared" si="3"/>
        <v>15.3141</v>
      </c>
      <c r="F110" s="39">
        <f t="shared" si="4"/>
        <v>71392.396198099057</v>
      </c>
      <c r="G110" s="39">
        <f t="shared" si="5"/>
        <v>85217.75</v>
      </c>
      <c r="H110" s="39">
        <f t="shared" si="6"/>
        <v>71392</v>
      </c>
      <c r="I110" s="51">
        <f t="shared" si="8"/>
        <v>13.2</v>
      </c>
      <c r="J110" s="39">
        <v>7977.35</v>
      </c>
    </row>
    <row r="111" spans="1:10">
      <c r="A111" s="32" t="s">
        <v>62</v>
      </c>
      <c r="B111" s="64">
        <v>10</v>
      </c>
      <c r="C111" s="51">
        <f t="shared" si="7"/>
        <v>15.3141</v>
      </c>
      <c r="D111" s="51">
        <f t="shared" si="3"/>
        <v>15.3141</v>
      </c>
      <c r="E111" s="51">
        <f t="shared" si="3"/>
        <v>15.3141</v>
      </c>
      <c r="F111" s="39">
        <f t="shared" si="4"/>
        <v>103839.01950975487</v>
      </c>
      <c r="G111" s="39">
        <f t="shared" si="5"/>
        <v>70843.25</v>
      </c>
      <c r="H111" s="39">
        <f t="shared" si="6"/>
        <v>103838.45454545454</v>
      </c>
      <c r="I111" s="51">
        <f t="shared" si="8"/>
        <v>13.2</v>
      </c>
      <c r="J111" s="39">
        <v>7074.28</v>
      </c>
    </row>
    <row r="112" spans="1:10">
      <c r="A112" s="32" t="s">
        <v>63</v>
      </c>
      <c r="B112" s="64">
        <v>10</v>
      </c>
      <c r="C112" s="51">
        <f t="shared" si="7"/>
        <v>15.3141</v>
      </c>
      <c r="D112" s="51">
        <f t="shared" si="3"/>
        <v>15.3141</v>
      </c>
      <c r="E112" s="51">
        <f t="shared" si="3"/>
        <v>15.3141</v>
      </c>
      <c r="F112" s="39">
        <f t="shared" si="4"/>
        <v>7297.3486743371686</v>
      </c>
      <c r="G112" s="39">
        <f t="shared" si="5"/>
        <v>5278.5</v>
      </c>
      <c r="H112" s="39">
        <f t="shared" si="6"/>
        <v>7297.272727272727</v>
      </c>
      <c r="I112" s="51">
        <f t="shared" si="8"/>
        <v>13.2</v>
      </c>
      <c r="J112" s="39">
        <v>1655.68</v>
      </c>
    </row>
    <row r="113" spans="1:10">
      <c r="A113" s="32" t="s">
        <v>64</v>
      </c>
      <c r="B113" s="64">
        <v>10</v>
      </c>
      <c r="C113" s="51">
        <f t="shared" si="7"/>
        <v>15.3141</v>
      </c>
      <c r="D113" s="51">
        <f t="shared" si="3"/>
        <v>15.3141</v>
      </c>
      <c r="E113" s="51">
        <f t="shared" si="3"/>
        <v>15.3141</v>
      </c>
      <c r="F113" s="39">
        <f t="shared" si="4"/>
        <v>3230.7153576788396</v>
      </c>
      <c r="G113" s="39">
        <f t="shared" si="5"/>
        <v>0</v>
      </c>
      <c r="H113" s="39">
        <f t="shared" si="6"/>
        <v>3230.727272727273</v>
      </c>
      <c r="I113" s="51">
        <f t="shared" si="8"/>
        <v>13.2</v>
      </c>
      <c r="J113" s="39"/>
    </row>
    <row r="114" spans="1:10">
      <c r="A114" s="32" t="s">
        <v>65</v>
      </c>
      <c r="B114" s="64">
        <v>10</v>
      </c>
      <c r="C114" s="51">
        <f t="shared" si="7"/>
        <v>15.3141</v>
      </c>
      <c r="D114" s="51">
        <f t="shared" si="3"/>
        <v>15.3141</v>
      </c>
      <c r="E114" s="51">
        <f t="shared" si="3"/>
        <v>15.3141</v>
      </c>
      <c r="F114" s="39">
        <f t="shared" si="4"/>
        <v>198215.1575787894</v>
      </c>
      <c r="G114" s="39">
        <f t="shared" si="5"/>
        <v>225661.74999999997</v>
      </c>
      <c r="H114" s="39">
        <f t="shared" si="6"/>
        <v>198213.45454545453</v>
      </c>
      <c r="I114" s="51">
        <f t="shared" si="8"/>
        <v>13.2</v>
      </c>
      <c r="J114" s="39">
        <v>3612.39</v>
      </c>
    </row>
    <row r="115" spans="1:10">
      <c r="A115" s="32" t="s">
        <v>66</v>
      </c>
      <c r="B115" s="64">
        <v>10</v>
      </c>
      <c r="C115" s="51">
        <f t="shared" si="7"/>
        <v>15.3141</v>
      </c>
      <c r="D115" s="51">
        <f t="shared" si="3"/>
        <v>15.3141</v>
      </c>
      <c r="E115" s="51">
        <f t="shared" si="3"/>
        <v>15.3141</v>
      </c>
      <c r="F115" s="39">
        <f t="shared" si="4"/>
        <v>0</v>
      </c>
      <c r="G115" s="39">
        <f t="shared" si="5"/>
        <v>0</v>
      </c>
      <c r="H115" s="39">
        <f t="shared" si="6"/>
        <v>0</v>
      </c>
      <c r="I115" s="51">
        <f t="shared" si="8"/>
        <v>13.2</v>
      </c>
      <c r="J115" s="39"/>
    </row>
    <row r="116" spans="1:10">
      <c r="A116" s="32" t="s">
        <v>67</v>
      </c>
      <c r="B116" s="64">
        <v>10</v>
      </c>
      <c r="C116" s="51">
        <f>12+1+0.3333+0.27+((0.3105+0.0456)*13)</f>
        <v>18.232599999999998</v>
      </c>
      <c r="D116" s="51">
        <f t="shared" ref="D116:E117" si="9">12+1+0.3333+0.27+((0.3105+0.0456)*13)</f>
        <v>18.232599999999998</v>
      </c>
      <c r="E116" s="51">
        <f t="shared" si="9"/>
        <v>18.232599999999998</v>
      </c>
      <c r="F116" s="39">
        <f t="shared" si="4"/>
        <v>17729.214607303653</v>
      </c>
      <c r="G116" s="39">
        <f t="shared" si="5"/>
        <v>15022.25</v>
      </c>
      <c r="H116" s="39">
        <f t="shared" si="6"/>
        <v>17729.060606060604</v>
      </c>
      <c r="I116" s="51">
        <f t="shared" si="8"/>
        <v>13.2</v>
      </c>
      <c r="J116" s="39">
        <v>1053.6099999999999</v>
      </c>
    </row>
    <row r="117" spans="1:10">
      <c r="A117" s="32" t="s">
        <v>68</v>
      </c>
      <c r="B117" s="64">
        <v>10</v>
      </c>
      <c r="C117" s="51">
        <f>12+1+0.3333+0.27+((0.3105+0.0456)*13)</f>
        <v>18.232599999999998</v>
      </c>
      <c r="D117" s="51">
        <f t="shared" si="9"/>
        <v>18.232599999999998</v>
      </c>
      <c r="E117" s="51">
        <f t="shared" si="9"/>
        <v>18.232599999999998</v>
      </c>
      <c r="F117" s="39">
        <f t="shared" si="4"/>
        <v>548653.57678839425</v>
      </c>
      <c r="G117" s="39">
        <f t="shared" si="5"/>
        <v>391433.75</v>
      </c>
      <c r="H117" s="39">
        <f t="shared" si="6"/>
        <v>548650.66666666663</v>
      </c>
      <c r="I117" s="51">
        <f t="shared" si="8"/>
        <v>13.2</v>
      </c>
      <c r="J117" s="39">
        <v>15051.59</v>
      </c>
    </row>
    <row r="118" spans="1:10">
      <c r="A118" s="32" t="s">
        <v>69</v>
      </c>
      <c r="B118" s="64">
        <v>10</v>
      </c>
      <c r="C118" s="51">
        <f t="shared" si="7"/>
        <v>15.3141</v>
      </c>
      <c r="D118" s="51">
        <f t="shared" si="7"/>
        <v>15.3141</v>
      </c>
      <c r="E118" s="51">
        <f t="shared" si="7"/>
        <v>15.3141</v>
      </c>
      <c r="F118" s="39">
        <f t="shared" si="4"/>
        <v>8417.158579289644</v>
      </c>
      <c r="G118" s="39">
        <f t="shared" si="5"/>
        <v>7192.7499999999991</v>
      </c>
      <c r="H118" s="39">
        <f t="shared" si="6"/>
        <v>8417.181818181818</v>
      </c>
      <c r="I118" s="51">
        <f t="shared" si="8"/>
        <v>13.2</v>
      </c>
      <c r="J118" s="39">
        <v>301.02999999999997</v>
      </c>
    </row>
    <row r="119" spans="1:10">
      <c r="A119" s="32" t="s">
        <v>70</v>
      </c>
      <c r="B119" s="64">
        <v>10</v>
      </c>
      <c r="C119" s="51">
        <f>12+1+0.3333+0.27+((0.3105+0.0456)*13)</f>
        <v>18.232599999999998</v>
      </c>
      <c r="D119" s="51">
        <f t="shared" ref="D119:E120" si="10">12+1+0.3333+0.27+((0.3105+0.0456)*13)</f>
        <v>18.232599999999998</v>
      </c>
      <c r="E119" s="51">
        <f t="shared" si="10"/>
        <v>18.232599999999998</v>
      </c>
      <c r="F119" s="39">
        <f t="shared" si="4"/>
        <v>90311.155577788901</v>
      </c>
      <c r="G119" s="39">
        <f t="shared" si="5"/>
        <v>60733.25</v>
      </c>
      <c r="H119" s="39">
        <f t="shared" si="6"/>
        <v>90310.969696969696</v>
      </c>
      <c r="I119" s="51">
        <f t="shared" si="8"/>
        <v>13.2</v>
      </c>
      <c r="J119" s="39">
        <v>2558.77</v>
      </c>
    </row>
    <row r="120" spans="1:10">
      <c r="A120" s="32" t="s">
        <v>71</v>
      </c>
      <c r="B120" s="64">
        <v>10</v>
      </c>
      <c r="C120" s="51">
        <f>12+1+0.3333+0.27+((0.3105+0.0456)*13)</f>
        <v>18.232599999999998</v>
      </c>
      <c r="D120" s="51">
        <f t="shared" si="10"/>
        <v>18.232599999999998</v>
      </c>
      <c r="E120" s="51">
        <f t="shared" si="10"/>
        <v>18.232599999999998</v>
      </c>
      <c r="F120" s="39">
        <f t="shared" si="4"/>
        <v>123770.93546773387</v>
      </c>
      <c r="G120" s="39">
        <f t="shared" si="5"/>
        <v>79926.5</v>
      </c>
      <c r="H120" s="39">
        <f t="shared" si="6"/>
        <v>123770.57575757576</v>
      </c>
      <c r="I120" s="51">
        <f t="shared" si="8"/>
        <v>13.2</v>
      </c>
      <c r="J120" s="39">
        <v>1956.7</v>
      </c>
    </row>
    <row r="121" spans="1:10">
      <c r="A121" s="32" t="s">
        <v>72</v>
      </c>
      <c r="B121" s="64">
        <v>10</v>
      </c>
      <c r="C121" s="51">
        <f t="shared" si="7"/>
        <v>15.3141</v>
      </c>
      <c r="D121" s="51">
        <f t="shared" si="7"/>
        <v>15.3141</v>
      </c>
      <c r="E121" s="51">
        <f t="shared" si="7"/>
        <v>15.3141</v>
      </c>
      <c r="F121" s="39">
        <f t="shared" si="4"/>
        <v>4077.7888944472238</v>
      </c>
      <c r="G121" s="39">
        <f t="shared" si="5"/>
        <v>5968.75</v>
      </c>
      <c r="H121" s="39">
        <f t="shared" si="6"/>
        <v>4077.727272727273</v>
      </c>
      <c r="I121" s="51">
        <f t="shared" si="8"/>
        <v>13.2</v>
      </c>
      <c r="J121" s="39">
        <v>301.02999999999997</v>
      </c>
    </row>
    <row r="122" spans="1:10">
      <c r="A122" s="32" t="s">
        <v>73</v>
      </c>
      <c r="B122" s="64">
        <v>10</v>
      </c>
      <c r="C122" s="51">
        <f t="shared" si="7"/>
        <v>15.3141</v>
      </c>
      <c r="D122" s="51">
        <f t="shared" si="7"/>
        <v>15.3141</v>
      </c>
      <c r="E122" s="51">
        <f t="shared" si="7"/>
        <v>15.3141</v>
      </c>
      <c r="F122" s="39">
        <f t="shared" si="4"/>
        <v>51731.31565782892</v>
      </c>
      <c r="G122" s="39">
        <f t="shared" si="5"/>
        <v>59049.749999999993</v>
      </c>
      <c r="H122" s="39">
        <f t="shared" si="6"/>
        <v>51730.727272727272</v>
      </c>
      <c r="I122" s="51">
        <f t="shared" si="8"/>
        <v>13.2</v>
      </c>
      <c r="J122" s="39">
        <v>1655.67</v>
      </c>
    </row>
    <row r="123" spans="1:10">
      <c r="A123" s="32" t="s">
        <v>74</v>
      </c>
      <c r="B123" s="64">
        <v>10</v>
      </c>
      <c r="C123" s="51">
        <f t="shared" si="7"/>
        <v>15.3141</v>
      </c>
      <c r="D123" s="51">
        <f t="shared" si="7"/>
        <v>15.3141</v>
      </c>
      <c r="E123" s="51">
        <f t="shared" si="7"/>
        <v>15.3141</v>
      </c>
      <c r="F123" s="39">
        <f t="shared" si="4"/>
        <v>33441.22061030515</v>
      </c>
      <c r="G123" s="39">
        <f t="shared" si="5"/>
        <v>42734</v>
      </c>
      <c r="H123" s="39">
        <f t="shared" si="6"/>
        <v>33441.181818181816</v>
      </c>
      <c r="I123" s="51">
        <f t="shared" si="8"/>
        <v>13.2</v>
      </c>
      <c r="J123" s="39">
        <v>2709.27</v>
      </c>
    </row>
    <row r="124" spans="1:10">
      <c r="A124" s="32" t="s">
        <v>75</v>
      </c>
      <c r="B124" s="64">
        <v>10</v>
      </c>
      <c r="C124" s="51">
        <f t="shared" si="7"/>
        <v>15.3141</v>
      </c>
      <c r="D124" s="51">
        <f t="shared" si="7"/>
        <v>15.3141</v>
      </c>
      <c r="E124" s="51">
        <f t="shared" si="7"/>
        <v>15.3141</v>
      </c>
      <c r="F124" s="39">
        <f t="shared" si="4"/>
        <v>170229.51475737867</v>
      </c>
      <c r="G124" s="39">
        <f t="shared" si="5"/>
        <v>145768.75</v>
      </c>
      <c r="H124" s="39">
        <f t="shared" si="6"/>
        <v>170228</v>
      </c>
      <c r="I124" s="51">
        <f t="shared" si="8"/>
        <v>13.2</v>
      </c>
      <c r="J124" s="39">
        <v>6622.68</v>
      </c>
    </row>
    <row r="125" spans="1:10">
      <c r="A125" s="32" t="s">
        <v>76</v>
      </c>
      <c r="B125" s="64">
        <v>10</v>
      </c>
      <c r="C125" s="51">
        <f t="shared" si="7"/>
        <v>15.3141</v>
      </c>
      <c r="D125" s="51">
        <f t="shared" si="7"/>
        <v>15.3141</v>
      </c>
      <c r="E125" s="51">
        <f t="shared" si="7"/>
        <v>15.3141</v>
      </c>
      <c r="F125" s="39">
        <f t="shared" si="4"/>
        <v>0</v>
      </c>
      <c r="G125" s="39">
        <f t="shared" si="5"/>
        <v>0</v>
      </c>
      <c r="H125" s="39">
        <f t="shared" si="6"/>
        <v>0</v>
      </c>
      <c r="I125" s="51">
        <f t="shared" si="8"/>
        <v>13.2</v>
      </c>
      <c r="J125" s="39"/>
    </row>
    <row r="126" spans="1:10">
      <c r="A126" s="32" t="s">
        <v>77</v>
      </c>
      <c r="B126" s="64">
        <v>10</v>
      </c>
      <c r="C126" s="51">
        <f>12+1+0.3333+0.27+((0.3105+0.0456)*13)</f>
        <v>18.232599999999998</v>
      </c>
      <c r="D126" s="51">
        <f t="shared" ref="D126:E126" si="11">12+1+0.3333+0.27+((0.3105+0.0456)*13)</f>
        <v>18.232599999999998</v>
      </c>
      <c r="E126" s="51">
        <f t="shared" si="11"/>
        <v>18.232599999999998</v>
      </c>
      <c r="F126" s="39">
        <f t="shared" si="4"/>
        <v>0</v>
      </c>
      <c r="G126" s="39">
        <f t="shared" si="5"/>
        <v>0</v>
      </c>
      <c r="H126" s="39">
        <f t="shared" si="6"/>
        <v>0</v>
      </c>
      <c r="I126" s="51">
        <f t="shared" si="8"/>
        <v>13.2</v>
      </c>
      <c r="J126" s="39"/>
    </row>
    <row r="127" spans="1:10">
      <c r="A127" s="32" t="s">
        <v>78</v>
      </c>
      <c r="B127" s="64">
        <v>10</v>
      </c>
      <c r="C127" s="51">
        <f t="shared" si="7"/>
        <v>15.3141</v>
      </c>
      <c r="D127" s="51">
        <f t="shared" si="7"/>
        <v>15.3141</v>
      </c>
      <c r="E127" s="51">
        <f t="shared" si="7"/>
        <v>15.3141</v>
      </c>
      <c r="F127" s="39">
        <f t="shared" si="4"/>
        <v>13339.769884942471</v>
      </c>
      <c r="G127" s="39">
        <f t="shared" si="5"/>
        <v>15040</v>
      </c>
      <c r="H127" s="39">
        <f t="shared" si="6"/>
        <v>13339.545454545454</v>
      </c>
      <c r="I127" s="51">
        <f t="shared" si="8"/>
        <v>13.2</v>
      </c>
      <c r="J127" s="39"/>
    </row>
    <row r="128" spans="1:10">
      <c r="A128" s="32" t="s">
        <v>79</v>
      </c>
      <c r="B128" s="64">
        <v>10</v>
      </c>
      <c r="C128" s="51">
        <f t="shared" si="7"/>
        <v>15.3141</v>
      </c>
      <c r="D128" s="51">
        <f t="shared" si="7"/>
        <v>15.3141</v>
      </c>
      <c r="E128" s="51">
        <f t="shared" si="7"/>
        <v>15.3141</v>
      </c>
      <c r="F128" s="39">
        <f t="shared" si="4"/>
        <v>0</v>
      </c>
      <c r="G128" s="39">
        <f t="shared" si="5"/>
        <v>0</v>
      </c>
      <c r="H128" s="39">
        <f t="shared" si="6"/>
        <v>0</v>
      </c>
      <c r="I128" s="51">
        <f t="shared" si="8"/>
        <v>13.2</v>
      </c>
      <c r="J128" s="39"/>
    </row>
    <row r="129" spans="1:10">
      <c r="A129" s="32" t="s">
        <v>80</v>
      </c>
      <c r="B129" s="64">
        <v>10</v>
      </c>
      <c r="C129" s="51">
        <f>12+1+0.3333+0.27+((0.3105+0.0456)*13)</f>
        <v>18.232599999999998</v>
      </c>
      <c r="D129" s="51">
        <f t="shared" ref="D129:E129" si="12">12+1+0.3333+0.27+((0.3105+0.0456)*13)</f>
        <v>18.232599999999998</v>
      </c>
      <c r="E129" s="51">
        <f t="shared" si="12"/>
        <v>18.232599999999998</v>
      </c>
      <c r="F129" s="39">
        <f t="shared" si="4"/>
        <v>60270.485242621311</v>
      </c>
      <c r="G129" s="39">
        <f t="shared" si="5"/>
        <v>43370.5</v>
      </c>
      <c r="H129" s="39">
        <f t="shared" si="6"/>
        <v>60270.15151515152</v>
      </c>
      <c r="I129" s="51">
        <f t="shared" si="8"/>
        <v>13.2</v>
      </c>
      <c r="J129" s="39">
        <v>1806.19</v>
      </c>
    </row>
    <row r="130" spans="1:10">
      <c r="A130" s="32" t="s">
        <v>81</v>
      </c>
      <c r="B130" s="64">
        <v>10</v>
      </c>
      <c r="C130" s="51">
        <f t="shared" si="7"/>
        <v>15.3141</v>
      </c>
      <c r="D130" s="51">
        <f t="shared" si="7"/>
        <v>15.3141</v>
      </c>
      <c r="E130" s="51">
        <f t="shared" si="7"/>
        <v>15.3141</v>
      </c>
      <c r="F130" s="39">
        <f t="shared" si="4"/>
        <v>46052.876438219108</v>
      </c>
      <c r="G130" s="39">
        <f t="shared" si="5"/>
        <v>26276.499999999996</v>
      </c>
      <c r="H130" s="39">
        <f t="shared" si="6"/>
        <v>46052.818181818184</v>
      </c>
      <c r="I130" s="51">
        <f t="shared" si="8"/>
        <v>13.2</v>
      </c>
      <c r="J130" s="39">
        <v>5719.61</v>
      </c>
    </row>
    <row r="131" spans="1:10">
      <c r="A131" s="32" t="s">
        <v>82</v>
      </c>
      <c r="B131" s="64">
        <v>10</v>
      </c>
      <c r="C131" s="51">
        <f t="shared" si="7"/>
        <v>15.3141</v>
      </c>
      <c r="D131" s="51">
        <f t="shared" si="7"/>
        <v>15.3141</v>
      </c>
      <c r="E131" s="51">
        <f t="shared" si="7"/>
        <v>15.3141</v>
      </c>
      <c r="F131" s="39">
        <f t="shared" si="4"/>
        <v>11391.695847923962</v>
      </c>
      <c r="G131" s="39">
        <f t="shared" si="5"/>
        <v>13003.75</v>
      </c>
      <c r="H131" s="39">
        <f t="shared" si="6"/>
        <v>11391.636363636362</v>
      </c>
      <c r="I131" s="51">
        <f t="shared" si="8"/>
        <v>13.2</v>
      </c>
      <c r="J131" s="39">
        <v>301.02999999999997</v>
      </c>
    </row>
    <row r="132" spans="1:10">
      <c r="A132" s="32" t="s">
        <v>83</v>
      </c>
      <c r="B132" s="64">
        <v>10</v>
      </c>
      <c r="C132" s="51">
        <f t="shared" si="7"/>
        <v>15.3141</v>
      </c>
      <c r="D132" s="51">
        <f t="shared" si="7"/>
        <v>15.3141</v>
      </c>
      <c r="E132" s="51">
        <f t="shared" si="7"/>
        <v>15.3141</v>
      </c>
      <c r="F132" s="39">
        <f t="shared" si="4"/>
        <v>11581.84092046023</v>
      </c>
      <c r="G132" s="39">
        <f t="shared" si="5"/>
        <v>15499.75</v>
      </c>
      <c r="H132" s="39">
        <f t="shared" si="6"/>
        <v>11581.848484848484</v>
      </c>
      <c r="I132" s="51">
        <f t="shared" si="8"/>
        <v>13.2</v>
      </c>
      <c r="J132" s="39"/>
    </row>
    <row r="133" spans="1:10">
      <c r="A133" s="32" t="s">
        <v>84</v>
      </c>
      <c r="B133" s="64">
        <v>10</v>
      </c>
      <c r="C133" s="51">
        <f t="shared" si="7"/>
        <v>15.3141</v>
      </c>
      <c r="D133" s="51">
        <f t="shared" si="7"/>
        <v>15.3141</v>
      </c>
      <c r="E133" s="51">
        <f t="shared" si="7"/>
        <v>15.3141</v>
      </c>
      <c r="F133" s="39">
        <f t="shared" si="4"/>
        <v>62891.645822911465</v>
      </c>
      <c r="G133" s="39">
        <f t="shared" si="5"/>
        <v>77607</v>
      </c>
      <c r="H133" s="39">
        <f t="shared" si="6"/>
        <v>62890.727272727265</v>
      </c>
      <c r="I133" s="51">
        <f t="shared" si="8"/>
        <v>13.2</v>
      </c>
      <c r="J133" s="39">
        <v>903.09</v>
      </c>
    </row>
    <row r="134" spans="1:10">
      <c r="A134" s="32" t="s">
        <v>85</v>
      </c>
      <c r="B134" s="64">
        <v>10</v>
      </c>
      <c r="C134" s="51">
        <f t="shared" si="7"/>
        <v>15.3141</v>
      </c>
      <c r="D134" s="51">
        <f t="shared" si="7"/>
        <v>15.3141</v>
      </c>
      <c r="E134" s="51">
        <f t="shared" si="7"/>
        <v>15.3141</v>
      </c>
      <c r="F134" s="39">
        <f t="shared" si="4"/>
        <v>16388.394197098551</v>
      </c>
      <c r="G134" s="39">
        <f t="shared" si="5"/>
        <v>8212.5</v>
      </c>
      <c r="H134" s="39">
        <f t="shared" si="6"/>
        <v>16388.39393939394</v>
      </c>
      <c r="I134" s="51">
        <f t="shared" si="8"/>
        <v>13.2</v>
      </c>
      <c r="J134" s="39">
        <v>451.55</v>
      </c>
    </row>
    <row r="135" spans="1:10">
      <c r="A135" s="32" t="s">
        <v>86</v>
      </c>
      <c r="B135" s="64">
        <v>10</v>
      </c>
      <c r="C135" s="51">
        <f t="shared" si="7"/>
        <v>15.3141</v>
      </c>
      <c r="D135" s="51">
        <f t="shared" si="7"/>
        <v>15.3141</v>
      </c>
      <c r="E135" s="51">
        <f t="shared" si="7"/>
        <v>15.3141</v>
      </c>
      <c r="F135" s="39">
        <f t="shared" si="4"/>
        <v>59640.620310155078</v>
      </c>
      <c r="G135" s="39">
        <f t="shared" si="5"/>
        <v>58104.25</v>
      </c>
      <c r="H135" s="39">
        <f t="shared" si="6"/>
        <v>59640.030303030297</v>
      </c>
      <c r="I135" s="51">
        <f t="shared" si="8"/>
        <v>13.2</v>
      </c>
      <c r="J135" s="39">
        <v>903.09</v>
      </c>
    </row>
    <row r="136" spans="1:10">
      <c r="A136" s="32" t="s">
        <v>87</v>
      </c>
      <c r="B136" s="64">
        <v>10</v>
      </c>
      <c r="C136" s="51">
        <f t="shared" si="7"/>
        <v>15.3141</v>
      </c>
      <c r="D136" s="51">
        <f t="shared" si="7"/>
        <v>15.3141</v>
      </c>
      <c r="E136" s="51">
        <f t="shared" si="7"/>
        <v>15.3141</v>
      </c>
      <c r="F136" s="39">
        <f t="shared" si="4"/>
        <v>179224.61230615308</v>
      </c>
      <c r="G136" s="39">
        <f t="shared" si="5"/>
        <v>167609.75</v>
      </c>
      <c r="H136" s="39">
        <f t="shared" si="6"/>
        <v>179223.63636363635</v>
      </c>
      <c r="I136" s="51">
        <f t="shared" si="8"/>
        <v>13.2</v>
      </c>
      <c r="J136" s="39">
        <v>4063.93</v>
      </c>
    </row>
    <row r="137" spans="1:10">
      <c r="A137" s="32" t="s">
        <v>88</v>
      </c>
      <c r="B137" s="64">
        <v>10</v>
      </c>
      <c r="C137" s="51">
        <f t="shared" si="7"/>
        <v>15.3141</v>
      </c>
      <c r="D137" s="51">
        <f t="shared" si="7"/>
        <v>15.3141</v>
      </c>
      <c r="E137" s="51">
        <f t="shared" si="7"/>
        <v>15.3141</v>
      </c>
      <c r="F137" s="39">
        <f t="shared" si="4"/>
        <v>5995.3476738369191</v>
      </c>
      <c r="G137" s="39">
        <f t="shared" si="5"/>
        <v>7322.7500000000009</v>
      </c>
      <c r="H137" s="39">
        <f t="shared" si="6"/>
        <v>5995.30303030303</v>
      </c>
      <c r="I137" s="51">
        <f t="shared" si="8"/>
        <v>13.2</v>
      </c>
      <c r="J137" s="39"/>
    </row>
    <row r="138" spans="1:10">
      <c r="A138" s="32" t="s">
        <v>89</v>
      </c>
      <c r="B138" s="64">
        <v>10</v>
      </c>
      <c r="C138" s="51">
        <f t="shared" si="7"/>
        <v>15.3141</v>
      </c>
      <c r="D138" s="51">
        <f t="shared" si="7"/>
        <v>15.3141</v>
      </c>
      <c r="E138" s="51">
        <f t="shared" si="7"/>
        <v>15.3141</v>
      </c>
      <c r="F138" s="39">
        <f t="shared" si="4"/>
        <v>6578.6893446723361</v>
      </c>
      <c r="G138" s="39">
        <f t="shared" si="5"/>
        <v>8682.75</v>
      </c>
      <c r="H138" s="39">
        <f t="shared" si="6"/>
        <v>6578.6666666666661</v>
      </c>
      <c r="I138" s="51">
        <f t="shared" si="8"/>
        <v>13.2</v>
      </c>
      <c r="J138" s="39"/>
    </row>
    <row r="139" spans="1:10">
      <c r="A139" s="32" t="s">
        <v>90</v>
      </c>
      <c r="B139" s="64">
        <v>10</v>
      </c>
      <c r="C139" s="51">
        <f t="shared" si="7"/>
        <v>15.3141</v>
      </c>
      <c r="D139" s="51">
        <f t="shared" si="7"/>
        <v>15.3141</v>
      </c>
      <c r="E139" s="51">
        <f t="shared" si="7"/>
        <v>15.3141</v>
      </c>
      <c r="F139" s="39">
        <f t="shared" si="4"/>
        <v>120078.63931965984</v>
      </c>
      <c r="G139" s="39">
        <f t="shared" si="5"/>
        <v>55280.75</v>
      </c>
      <c r="H139" s="39">
        <f t="shared" si="6"/>
        <v>120078.33333333333</v>
      </c>
      <c r="I139" s="51">
        <f t="shared" si="8"/>
        <v>13.2</v>
      </c>
      <c r="J139" s="39"/>
    </row>
    <row r="140" spans="1:10">
      <c r="A140" s="32" t="s">
        <v>91</v>
      </c>
      <c r="B140" s="64">
        <v>10</v>
      </c>
      <c r="C140" s="51">
        <f t="shared" si="7"/>
        <v>15.3141</v>
      </c>
      <c r="D140" s="51">
        <f t="shared" si="7"/>
        <v>15.3141</v>
      </c>
      <c r="E140" s="51">
        <f t="shared" si="7"/>
        <v>15.3141</v>
      </c>
      <c r="F140" s="39">
        <f t="shared" si="4"/>
        <v>0</v>
      </c>
      <c r="G140" s="39">
        <f t="shared" si="5"/>
        <v>0</v>
      </c>
      <c r="H140" s="39">
        <f t="shared" si="6"/>
        <v>0</v>
      </c>
      <c r="I140" s="51">
        <f t="shared" si="8"/>
        <v>13.2</v>
      </c>
      <c r="J140" s="39"/>
    </row>
    <row r="141" spans="1:10">
      <c r="A141" s="32" t="s">
        <v>92</v>
      </c>
      <c r="B141" s="64">
        <v>10</v>
      </c>
      <c r="C141" s="51">
        <f t="shared" si="7"/>
        <v>15.3141</v>
      </c>
      <c r="D141" s="51">
        <f t="shared" si="7"/>
        <v>15.3141</v>
      </c>
      <c r="E141" s="51">
        <f t="shared" si="7"/>
        <v>15.3141</v>
      </c>
      <c r="F141" s="39">
        <f t="shared" si="4"/>
        <v>19880.640320160081</v>
      </c>
      <c r="G141" s="39">
        <f t="shared" si="5"/>
        <v>21987.75</v>
      </c>
      <c r="H141" s="39">
        <f t="shared" si="6"/>
        <v>19880.60606060606</v>
      </c>
      <c r="I141" s="51">
        <f t="shared" si="8"/>
        <v>13.2</v>
      </c>
      <c r="J141" s="39">
        <v>903.1</v>
      </c>
    </row>
    <row r="142" spans="1:10">
      <c r="A142" s="32" t="s">
        <v>93</v>
      </c>
      <c r="B142" s="64">
        <v>10</v>
      </c>
      <c r="C142" s="51">
        <f t="shared" si="7"/>
        <v>15.3141</v>
      </c>
      <c r="D142" s="51">
        <f t="shared" si="7"/>
        <v>15.3141</v>
      </c>
      <c r="E142" s="51">
        <f t="shared" si="7"/>
        <v>15.3141</v>
      </c>
      <c r="F142" s="39">
        <f t="shared" si="4"/>
        <v>2438.2691345672838</v>
      </c>
      <c r="G142" s="39">
        <f t="shared" si="5"/>
        <v>0</v>
      </c>
      <c r="H142" s="39">
        <f t="shared" si="6"/>
        <v>2438.272727272727</v>
      </c>
      <c r="I142" s="51">
        <f t="shared" si="8"/>
        <v>13.2</v>
      </c>
      <c r="J142" s="39"/>
    </row>
    <row r="143" spans="1:10">
      <c r="A143" s="32" t="s">
        <v>94</v>
      </c>
      <c r="B143" s="64">
        <v>10</v>
      </c>
      <c r="C143" s="51">
        <f t="shared" si="7"/>
        <v>15.3141</v>
      </c>
      <c r="D143" s="51">
        <f t="shared" si="7"/>
        <v>15.3141</v>
      </c>
      <c r="E143" s="51">
        <f t="shared" si="7"/>
        <v>15.3141</v>
      </c>
      <c r="F143" s="39">
        <f t="shared" si="4"/>
        <v>0</v>
      </c>
      <c r="G143" s="39">
        <f t="shared" si="5"/>
        <v>0</v>
      </c>
      <c r="H143" s="39">
        <f t="shared" si="6"/>
        <v>0</v>
      </c>
      <c r="I143" s="51">
        <f t="shared" si="8"/>
        <v>13.2</v>
      </c>
      <c r="J143" s="39"/>
    </row>
    <row r="144" spans="1:10">
      <c r="A144" s="32" t="s">
        <v>95</v>
      </c>
      <c r="B144" s="64">
        <v>10</v>
      </c>
      <c r="C144" s="51">
        <f t="shared" si="7"/>
        <v>15.3141</v>
      </c>
      <c r="D144" s="51">
        <f t="shared" si="7"/>
        <v>15.3141</v>
      </c>
      <c r="E144" s="51">
        <f t="shared" si="7"/>
        <v>15.3141</v>
      </c>
      <c r="F144" s="39">
        <f t="shared" si="4"/>
        <v>11254.477238619309</v>
      </c>
      <c r="G144" s="39">
        <f t="shared" si="5"/>
        <v>5530.75</v>
      </c>
      <c r="H144" s="39">
        <f t="shared" si="6"/>
        <v>11254.454545454544</v>
      </c>
      <c r="I144" s="51">
        <f t="shared" si="8"/>
        <v>13.2</v>
      </c>
      <c r="J144" s="39">
        <v>752.58</v>
      </c>
    </row>
    <row r="145" spans="1:10">
      <c r="A145" s="32" t="s">
        <v>96</v>
      </c>
      <c r="B145" s="64">
        <v>10</v>
      </c>
      <c r="C145" s="51">
        <f t="shared" si="7"/>
        <v>15.3141</v>
      </c>
      <c r="D145" s="51">
        <f t="shared" si="7"/>
        <v>15.3141</v>
      </c>
      <c r="E145" s="51">
        <f t="shared" si="7"/>
        <v>15.3141</v>
      </c>
      <c r="F145" s="39">
        <f t="shared" si="4"/>
        <v>13670.985492746373</v>
      </c>
      <c r="G145" s="39">
        <f t="shared" si="5"/>
        <v>19194.75</v>
      </c>
      <c r="H145" s="39">
        <f t="shared" si="6"/>
        <v>13670.757575757576</v>
      </c>
      <c r="I145" s="51">
        <f t="shared" si="8"/>
        <v>13.2</v>
      </c>
      <c r="J145" s="39"/>
    </row>
    <row r="146" spans="1:10">
      <c r="A146" s="32" t="s">
        <v>97</v>
      </c>
      <c r="B146" s="64">
        <v>10</v>
      </c>
      <c r="C146" s="51">
        <f t="shared" si="7"/>
        <v>15.3141</v>
      </c>
      <c r="D146" s="51">
        <f t="shared" si="7"/>
        <v>15.3141</v>
      </c>
      <c r="E146" s="51">
        <f t="shared" si="7"/>
        <v>15.3141</v>
      </c>
      <c r="F146" s="39">
        <f t="shared" si="4"/>
        <v>12565.532766383192</v>
      </c>
      <c r="G146" s="39">
        <f t="shared" si="5"/>
        <v>17135.75</v>
      </c>
      <c r="H146" s="39">
        <f t="shared" si="6"/>
        <v>12565.454545454546</v>
      </c>
      <c r="I146" s="51">
        <f t="shared" si="8"/>
        <v>13.2</v>
      </c>
      <c r="J146" s="39"/>
    </row>
    <row r="147" spans="1:10">
      <c r="A147" s="32" t="s">
        <v>98</v>
      </c>
      <c r="B147" s="64">
        <v>10</v>
      </c>
      <c r="C147" s="51">
        <f t="shared" si="7"/>
        <v>15.3141</v>
      </c>
      <c r="D147" s="51">
        <f t="shared" si="7"/>
        <v>15.3141</v>
      </c>
      <c r="E147" s="51">
        <f t="shared" si="7"/>
        <v>15.3141</v>
      </c>
      <c r="F147" s="39">
        <f t="shared" si="4"/>
        <v>12726.013006503252</v>
      </c>
      <c r="G147" s="39">
        <f t="shared" si="5"/>
        <v>8812</v>
      </c>
      <c r="H147" s="39">
        <f t="shared" si="6"/>
        <v>12725.818181818182</v>
      </c>
      <c r="I147" s="51">
        <f t="shared" si="8"/>
        <v>13.2</v>
      </c>
      <c r="J147" s="39"/>
    </row>
    <row r="148" spans="1:10">
      <c r="A148" s="32" t="s">
        <v>99</v>
      </c>
      <c r="B148" s="64">
        <v>10</v>
      </c>
      <c r="C148" s="51">
        <f t="shared" si="7"/>
        <v>15.3141</v>
      </c>
      <c r="D148" s="51">
        <f t="shared" si="7"/>
        <v>15.3141</v>
      </c>
      <c r="E148" s="51">
        <f t="shared" si="7"/>
        <v>15.3141</v>
      </c>
      <c r="F148" s="39">
        <f t="shared" si="4"/>
        <v>0</v>
      </c>
      <c r="G148" s="39">
        <f t="shared" si="5"/>
        <v>0</v>
      </c>
      <c r="H148" s="39">
        <f t="shared" si="6"/>
        <v>0</v>
      </c>
      <c r="I148" s="51">
        <f t="shared" si="8"/>
        <v>13.2</v>
      </c>
      <c r="J148" s="39"/>
    </row>
    <row r="149" spans="1:10">
      <c r="A149" s="32" t="s">
        <v>100</v>
      </c>
      <c r="B149" s="64">
        <v>10</v>
      </c>
      <c r="C149" s="51">
        <f t="shared" si="7"/>
        <v>15.3141</v>
      </c>
      <c r="D149" s="51">
        <f t="shared" si="7"/>
        <v>15.3141</v>
      </c>
      <c r="E149" s="51">
        <f t="shared" si="7"/>
        <v>15.3141</v>
      </c>
      <c r="F149" s="39">
        <f t="shared" si="4"/>
        <v>3169.7348674337168</v>
      </c>
      <c r="G149" s="39">
        <f t="shared" si="5"/>
        <v>0</v>
      </c>
      <c r="H149" s="39">
        <f t="shared" si="6"/>
        <v>3169.7575757575755</v>
      </c>
      <c r="I149" s="51">
        <f t="shared" si="8"/>
        <v>13.2</v>
      </c>
      <c r="J149" s="39"/>
    </row>
    <row r="150" spans="1:10">
      <c r="A150" s="32" t="s">
        <v>101</v>
      </c>
      <c r="B150" s="64">
        <v>10</v>
      </c>
      <c r="C150" s="51">
        <f t="shared" si="7"/>
        <v>15.3141</v>
      </c>
      <c r="D150" s="51">
        <f t="shared" si="7"/>
        <v>15.3141</v>
      </c>
      <c r="E150" s="51">
        <f t="shared" si="7"/>
        <v>15.3141</v>
      </c>
      <c r="F150" s="39">
        <f t="shared" si="4"/>
        <v>7896.3981990995499</v>
      </c>
      <c r="G150" s="39">
        <f t="shared" si="5"/>
        <v>4777.75</v>
      </c>
      <c r="H150" s="39">
        <f t="shared" si="6"/>
        <v>7896.333333333333</v>
      </c>
      <c r="I150" s="51">
        <f t="shared" si="8"/>
        <v>13.2</v>
      </c>
      <c r="J150" s="39">
        <v>752.58</v>
      </c>
    </row>
    <row r="151" spans="1:10">
      <c r="A151" s="32" t="s">
        <v>102</v>
      </c>
      <c r="B151" s="64">
        <v>10</v>
      </c>
      <c r="C151" s="51">
        <f t="shared" si="7"/>
        <v>15.3141</v>
      </c>
      <c r="D151" s="51">
        <f t="shared" si="7"/>
        <v>15.3141</v>
      </c>
      <c r="E151" s="51">
        <f t="shared" si="7"/>
        <v>15.3141</v>
      </c>
      <c r="F151" s="39">
        <f t="shared" si="4"/>
        <v>19126.113056528266</v>
      </c>
      <c r="G151" s="39">
        <f t="shared" si="5"/>
        <v>14191</v>
      </c>
      <c r="H151" s="39">
        <f t="shared" si="6"/>
        <v>19126.030303030304</v>
      </c>
      <c r="I151" s="51">
        <f t="shared" si="8"/>
        <v>13.2</v>
      </c>
      <c r="J151" s="39"/>
    </row>
    <row r="152" spans="1:10">
      <c r="A152" s="32" t="s">
        <v>103</v>
      </c>
      <c r="B152" s="64">
        <v>10</v>
      </c>
      <c r="C152" s="51">
        <f t="shared" si="7"/>
        <v>15.3141</v>
      </c>
      <c r="D152" s="51">
        <f t="shared" si="7"/>
        <v>15.3141</v>
      </c>
      <c r="E152" s="51">
        <f t="shared" si="7"/>
        <v>15.3141</v>
      </c>
      <c r="F152" s="39">
        <f t="shared" si="4"/>
        <v>0</v>
      </c>
      <c r="G152" s="39">
        <f t="shared" si="5"/>
        <v>0</v>
      </c>
      <c r="H152" s="39">
        <f t="shared" si="6"/>
        <v>0</v>
      </c>
      <c r="I152" s="51">
        <f t="shared" si="8"/>
        <v>13.2</v>
      </c>
      <c r="J152" s="39"/>
    </row>
    <row r="153" spans="1:10">
      <c r="A153" s="32" t="s">
        <v>104</v>
      </c>
      <c r="B153" s="64">
        <v>10</v>
      </c>
      <c r="C153" s="51">
        <f t="shared" si="7"/>
        <v>15.3141</v>
      </c>
      <c r="D153" s="51">
        <f t="shared" si="7"/>
        <v>15.3141</v>
      </c>
      <c r="E153" s="51">
        <f t="shared" si="7"/>
        <v>15.3141</v>
      </c>
      <c r="F153" s="39">
        <f t="shared" si="4"/>
        <v>0</v>
      </c>
      <c r="G153" s="39">
        <f t="shared" si="5"/>
        <v>0</v>
      </c>
      <c r="H153" s="39">
        <f t="shared" si="6"/>
        <v>0</v>
      </c>
      <c r="I153" s="51">
        <f t="shared" si="8"/>
        <v>13.2</v>
      </c>
      <c r="J153" s="39"/>
    </row>
    <row r="154" spans="1:10">
      <c r="A154" s="32" t="s">
        <v>105</v>
      </c>
      <c r="B154" s="64">
        <v>10</v>
      </c>
      <c r="C154" s="51">
        <f t="shared" si="7"/>
        <v>15.3141</v>
      </c>
      <c r="D154" s="51">
        <f t="shared" si="7"/>
        <v>15.3141</v>
      </c>
      <c r="E154" s="51">
        <f t="shared" si="7"/>
        <v>15.3141</v>
      </c>
      <c r="F154" s="39">
        <f t="shared" si="4"/>
        <v>0</v>
      </c>
      <c r="G154" s="39">
        <f t="shared" si="5"/>
        <v>0</v>
      </c>
      <c r="H154" s="39">
        <f t="shared" si="6"/>
        <v>0</v>
      </c>
      <c r="I154" s="51">
        <f t="shared" si="8"/>
        <v>13.2</v>
      </c>
      <c r="J154" s="39"/>
    </row>
    <row r="155" spans="1:10">
      <c r="A155" s="32" t="s">
        <v>106</v>
      </c>
      <c r="B155" s="64">
        <v>10</v>
      </c>
      <c r="C155" s="51">
        <f t="shared" si="7"/>
        <v>15.3141</v>
      </c>
      <c r="D155" s="51">
        <f t="shared" si="7"/>
        <v>15.3141</v>
      </c>
      <c r="E155" s="51">
        <f t="shared" si="7"/>
        <v>15.3141</v>
      </c>
      <c r="F155" s="39">
        <f t="shared" si="4"/>
        <v>68942.021010505254</v>
      </c>
      <c r="G155" s="39">
        <f t="shared" si="5"/>
        <v>51052.25</v>
      </c>
      <c r="H155" s="39">
        <f t="shared" si="6"/>
        <v>68941.696969696961</v>
      </c>
      <c r="I155" s="51">
        <f t="shared" si="8"/>
        <v>13.2</v>
      </c>
      <c r="J155" s="39">
        <v>1806.19</v>
      </c>
    </row>
    <row r="156" spans="1:10">
      <c r="A156" s="32" t="s">
        <v>107</v>
      </c>
      <c r="B156" s="64">
        <v>10</v>
      </c>
      <c r="C156" s="51">
        <f t="shared" si="7"/>
        <v>15.3141</v>
      </c>
      <c r="D156" s="51">
        <f t="shared" si="7"/>
        <v>15.3141</v>
      </c>
      <c r="E156" s="51">
        <f t="shared" si="7"/>
        <v>15.3141</v>
      </c>
      <c r="F156" s="39">
        <f t="shared" si="4"/>
        <v>0</v>
      </c>
      <c r="G156" s="39">
        <f t="shared" si="5"/>
        <v>0</v>
      </c>
      <c r="H156" s="39">
        <f t="shared" si="6"/>
        <v>0</v>
      </c>
      <c r="I156" s="51">
        <f t="shared" si="8"/>
        <v>13.2</v>
      </c>
      <c r="J156" s="39"/>
    </row>
    <row r="157" spans="1:10">
      <c r="A157" s="32" t="s">
        <v>108</v>
      </c>
      <c r="B157" s="64">
        <v>10</v>
      </c>
      <c r="C157" s="51">
        <f t="shared" si="7"/>
        <v>15.3141</v>
      </c>
      <c r="D157" s="51">
        <f t="shared" si="7"/>
        <v>15.3141</v>
      </c>
      <c r="E157" s="51">
        <f t="shared" si="7"/>
        <v>15.3141</v>
      </c>
      <c r="F157" s="39">
        <f t="shared" si="4"/>
        <v>1782.7413706853426</v>
      </c>
      <c r="G157" s="39">
        <f t="shared" si="5"/>
        <v>1782.5</v>
      </c>
      <c r="H157" s="39">
        <f t="shared" si="6"/>
        <v>1782.7272727272725</v>
      </c>
      <c r="I157" s="51">
        <f t="shared" si="8"/>
        <v>13.2</v>
      </c>
      <c r="J157" s="39"/>
    </row>
    <row r="158" spans="1:10">
      <c r="A158" s="32" t="s">
        <v>109</v>
      </c>
      <c r="B158" s="64">
        <v>10</v>
      </c>
      <c r="C158" s="51">
        <f t="shared" si="7"/>
        <v>15.3141</v>
      </c>
      <c r="D158" s="51">
        <f t="shared" si="7"/>
        <v>15.3141</v>
      </c>
      <c r="E158" s="51">
        <f t="shared" si="7"/>
        <v>15.3141</v>
      </c>
      <c r="F158" s="39">
        <f t="shared" si="4"/>
        <v>0</v>
      </c>
      <c r="G158" s="39">
        <f t="shared" si="5"/>
        <v>0</v>
      </c>
      <c r="H158" s="39">
        <f t="shared" si="6"/>
        <v>0</v>
      </c>
      <c r="I158" s="51">
        <f t="shared" si="8"/>
        <v>13.2</v>
      </c>
      <c r="J158" s="39"/>
    </row>
    <row r="159" spans="1:10">
      <c r="A159" s="32" t="s">
        <v>110</v>
      </c>
      <c r="B159" s="64">
        <v>10</v>
      </c>
      <c r="C159" s="51">
        <f t="shared" si="7"/>
        <v>15.3141</v>
      </c>
      <c r="D159" s="51">
        <f t="shared" si="7"/>
        <v>15.3141</v>
      </c>
      <c r="E159" s="51">
        <f t="shared" si="7"/>
        <v>15.3141</v>
      </c>
      <c r="F159" s="39">
        <f t="shared" si="4"/>
        <v>32513.606803401704</v>
      </c>
      <c r="G159" s="39">
        <f t="shared" si="5"/>
        <v>30326</v>
      </c>
      <c r="H159" s="39">
        <f t="shared" si="6"/>
        <v>32513.575757575756</v>
      </c>
      <c r="I159" s="51">
        <f t="shared" si="8"/>
        <v>13.2</v>
      </c>
      <c r="J159" s="39">
        <v>602.05999999999995</v>
      </c>
    </row>
    <row r="160" spans="1:10">
      <c r="A160" s="32" t="s">
        <v>111</v>
      </c>
      <c r="B160" s="64"/>
      <c r="C160" s="51">
        <f>12+1+((0.086+0.0456)*13)</f>
        <v>14.710799999999999</v>
      </c>
      <c r="D160" s="51">
        <f t="shared" ref="D160:E160" si="13">12+1+((0.086+0.0456)*13)</f>
        <v>14.710799999999999</v>
      </c>
      <c r="E160" s="51">
        <f t="shared" si="13"/>
        <v>14.710799999999999</v>
      </c>
      <c r="F160" s="39">
        <f t="shared" si="4"/>
        <v>0</v>
      </c>
      <c r="G160" s="39">
        <f t="shared" si="5"/>
        <v>0</v>
      </c>
      <c r="H160" s="39">
        <f t="shared" si="6"/>
        <v>0</v>
      </c>
      <c r="I160" s="51"/>
      <c r="J160" s="39"/>
    </row>
    <row r="161" spans="1:10">
      <c r="A161" s="32" t="s">
        <v>112</v>
      </c>
      <c r="B161" s="64"/>
      <c r="C161" s="51">
        <f t="shared" ref="C161:E163" si="14">12+1+((0.086+0.0456)*13)</f>
        <v>14.710799999999999</v>
      </c>
      <c r="D161" s="51">
        <f t="shared" si="14"/>
        <v>14.710799999999999</v>
      </c>
      <c r="E161" s="51">
        <f t="shared" si="14"/>
        <v>14.710799999999999</v>
      </c>
      <c r="F161" s="39">
        <f t="shared" si="4"/>
        <v>0</v>
      </c>
      <c r="G161" s="39">
        <f t="shared" si="5"/>
        <v>1354.5</v>
      </c>
      <c r="H161" s="39">
        <f t="shared" si="6"/>
        <v>0</v>
      </c>
      <c r="I161" s="51"/>
      <c r="J161" s="39">
        <v>1655.67</v>
      </c>
    </row>
    <row r="162" spans="1:10">
      <c r="A162" s="78" t="s">
        <v>116</v>
      </c>
      <c r="B162" s="64"/>
      <c r="C162" s="51">
        <f t="shared" si="14"/>
        <v>14.710799999999999</v>
      </c>
      <c r="D162" s="51">
        <f t="shared" si="14"/>
        <v>14.710799999999999</v>
      </c>
      <c r="E162" s="51">
        <f t="shared" si="14"/>
        <v>14.710799999999999</v>
      </c>
      <c r="F162" s="39">
        <f>F75/0.1999</f>
        <v>40215.207603801908</v>
      </c>
      <c r="G162" s="39">
        <f>G75/4%</f>
        <v>147940.25</v>
      </c>
      <c r="H162" s="39">
        <f>H75/0.33</f>
        <v>40215.666666666664</v>
      </c>
      <c r="I162" s="51"/>
      <c r="J162" s="39"/>
    </row>
    <row r="163" spans="1:10">
      <c r="A163" s="77" t="s">
        <v>117</v>
      </c>
      <c r="B163" s="64"/>
      <c r="C163" s="51">
        <f t="shared" si="14"/>
        <v>14.710799999999999</v>
      </c>
      <c r="D163" s="51">
        <f t="shared" si="14"/>
        <v>14.710799999999999</v>
      </c>
      <c r="E163" s="51">
        <f t="shared" si="14"/>
        <v>14.710799999999999</v>
      </c>
      <c r="F163" s="39">
        <f>F76/0.1999</f>
        <v>656855.1775887945</v>
      </c>
      <c r="G163" s="39">
        <f>G76/4%</f>
        <v>1186539.5</v>
      </c>
      <c r="H163" s="39">
        <f>H76/0.33</f>
        <v>656858.75757575757</v>
      </c>
      <c r="I163" s="51"/>
      <c r="J163" s="39"/>
    </row>
    <row r="164" spans="1:10">
      <c r="A164" s="31" t="s">
        <v>123</v>
      </c>
      <c r="B164" s="39">
        <f>SUM(B105:B163)</f>
        <v>550</v>
      </c>
      <c r="C164" s="39"/>
      <c r="D164" s="39"/>
      <c r="E164" s="39"/>
      <c r="F164" s="39">
        <f t="shared" ref="F164:I164" si="15">SUM(F105:F163)</f>
        <v>3055999.9999999991</v>
      </c>
      <c r="G164" s="39">
        <f t="shared" si="15"/>
        <v>3288886.75</v>
      </c>
      <c r="H164" s="39">
        <f t="shared" si="15"/>
        <v>3055990.4848484853</v>
      </c>
      <c r="I164" s="39">
        <f t="shared" si="15"/>
        <v>726.00000000000045</v>
      </c>
      <c r="J164" s="39">
        <f>SUM(J105:J163)</f>
        <v>77365.169999999984</v>
      </c>
    </row>
    <row r="165" spans="1:10">
      <c r="A165" s="34" t="s">
        <v>124</v>
      </c>
      <c r="E165" s="38"/>
      <c r="F165" s="38"/>
      <c r="G165" s="38"/>
      <c r="H165" s="38"/>
      <c r="I165" s="38"/>
      <c r="J165" s="38">
        <f>77365.17-J164</f>
        <v>0</v>
      </c>
    </row>
    <row r="174" spans="1:10">
      <c r="A174" s="34"/>
      <c r="E174" s="38"/>
      <c r="F174" s="38"/>
      <c r="G174" s="38"/>
      <c r="H174" s="38"/>
      <c r="I174" s="38"/>
      <c r="J174" s="38"/>
    </row>
    <row r="175" spans="1:10">
      <c r="A175" s="34"/>
      <c r="E175" s="38"/>
      <c r="F175" s="38"/>
      <c r="G175" s="38"/>
      <c r="H175" s="38"/>
      <c r="I175" s="38"/>
      <c r="J175" s="38"/>
    </row>
    <row r="176" spans="1:10">
      <c r="A176" s="34"/>
      <c r="E176" s="38"/>
      <c r="F176" s="38"/>
      <c r="G176" s="38"/>
      <c r="H176" s="38"/>
      <c r="I176" s="38"/>
      <c r="J176" s="38"/>
    </row>
    <row r="177" spans="1:10">
      <c r="A177" s="34"/>
      <c r="E177" s="38"/>
      <c r="F177" s="38"/>
      <c r="G177" s="38"/>
      <c r="H177" s="38"/>
      <c r="I177" s="38"/>
      <c r="J177" s="38"/>
    </row>
    <row r="178" spans="1:10">
      <c r="A178" s="34"/>
      <c r="E178" s="38"/>
      <c r="F178" s="38"/>
      <c r="G178" s="38"/>
      <c r="H178" s="38"/>
      <c r="I178" s="38"/>
      <c r="J178" s="38"/>
    </row>
    <row r="179" spans="1:10">
      <c r="A179" s="34"/>
      <c r="E179" s="38"/>
      <c r="F179" s="38"/>
      <c r="G179" s="38"/>
      <c r="H179" s="38"/>
      <c r="I179" s="38"/>
      <c r="J179" s="38"/>
    </row>
    <row r="180" spans="1:10">
      <c r="A180" s="34"/>
      <c r="E180" s="38"/>
      <c r="F180" s="38"/>
      <c r="G180" s="38"/>
      <c r="H180" s="38"/>
      <c r="I180" s="38"/>
      <c r="J180" s="38"/>
    </row>
    <row r="181" spans="1:10">
      <c r="A181" s="34"/>
      <c r="E181" s="38"/>
      <c r="F181" s="38"/>
      <c r="G181" s="38"/>
      <c r="H181" s="38"/>
      <c r="I181" s="38"/>
      <c r="J181" s="38"/>
    </row>
    <row r="182" spans="1:10">
      <c r="A182" s="34"/>
      <c r="E182" s="38"/>
      <c r="F182" s="38"/>
      <c r="G182" s="38"/>
      <c r="H182" s="38"/>
      <c r="I182" s="38"/>
      <c r="J182" s="38"/>
    </row>
    <row r="183" spans="1:10">
      <c r="A183" s="34"/>
      <c r="E183" s="38"/>
      <c r="F183" s="38"/>
      <c r="G183" s="38"/>
      <c r="H183" s="38"/>
      <c r="I183" s="38"/>
      <c r="J183" s="38"/>
    </row>
    <row r="184" spans="1:10">
      <c r="A184" s="34"/>
      <c r="E184" s="38"/>
      <c r="F184" s="38"/>
      <c r="G184" s="38"/>
      <c r="H184" s="38"/>
      <c r="I184" s="38"/>
      <c r="J184" s="38"/>
    </row>
    <row r="185" spans="1:10">
      <c r="A185" s="34"/>
      <c r="E185" s="38"/>
      <c r="F185" s="38"/>
      <c r="G185" s="38"/>
      <c r="H185" s="38"/>
      <c r="I185" s="38"/>
      <c r="J185" s="38"/>
    </row>
    <row r="186" spans="1:10">
      <c r="A186" s="34"/>
      <c r="E186" s="38"/>
      <c r="F186" s="38"/>
      <c r="G186" s="38"/>
      <c r="H186" s="38"/>
      <c r="I186" s="38"/>
      <c r="J186" s="38"/>
    </row>
    <row r="187" spans="1:10">
      <c r="A187" s="34"/>
      <c r="E187" s="38"/>
      <c r="F187" s="38"/>
      <c r="G187" s="38"/>
      <c r="H187" s="38"/>
      <c r="I187" s="38"/>
      <c r="J187" s="38"/>
    </row>
    <row r="188" spans="1:10">
      <c r="A188" s="34"/>
      <c r="E188" s="38"/>
      <c r="F188" s="38"/>
      <c r="G188" s="38"/>
      <c r="H188" s="38"/>
      <c r="I188" s="38"/>
      <c r="J188" s="38"/>
    </row>
    <row r="189" spans="1:10">
      <c r="A189" s="34"/>
      <c r="E189" s="38"/>
      <c r="F189" s="38"/>
      <c r="G189" s="38"/>
      <c r="H189" s="38"/>
      <c r="I189" s="38"/>
      <c r="J189" s="38"/>
    </row>
    <row r="190" spans="1:10">
      <c r="A190" s="34"/>
      <c r="E190" s="38"/>
      <c r="F190" s="38"/>
      <c r="G190" s="38"/>
      <c r="H190" s="38"/>
      <c r="I190" s="38"/>
      <c r="J190" s="38"/>
    </row>
    <row r="191" spans="1:10">
      <c r="C191" s="34" t="s">
        <v>125</v>
      </c>
    </row>
    <row r="192" spans="1:10">
      <c r="B192" s="31" t="s">
        <v>126</v>
      </c>
      <c r="C192" s="42" t="s">
        <v>127</v>
      </c>
      <c r="E192" s="50"/>
      <c r="F192" s="66">
        <v>0.19989999999999999</v>
      </c>
      <c r="G192" s="66">
        <v>0.04</v>
      </c>
      <c r="H192" s="66">
        <v>0.4</v>
      </c>
      <c r="I192" s="42" t="s">
        <v>128</v>
      </c>
    </row>
    <row r="193" spans="1:11" s="53" customFormat="1">
      <c r="A193" s="77" t="s">
        <v>46</v>
      </c>
      <c r="B193" s="77" t="s">
        <v>47</v>
      </c>
      <c r="C193" s="51" t="s">
        <v>48</v>
      </c>
      <c r="D193" s="51" t="s">
        <v>49</v>
      </c>
      <c r="E193" s="77" t="s">
        <v>50</v>
      </c>
      <c r="F193" s="77" t="s">
        <v>51</v>
      </c>
      <c r="G193" s="77" t="s">
        <v>52</v>
      </c>
      <c r="H193" s="77" t="s">
        <v>53</v>
      </c>
      <c r="I193" s="77" t="s">
        <v>54</v>
      </c>
      <c r="J193" s="78" t="s">
        <v>55</v>
      </c>
    </row>
    <row r="194" spans="1:11">
      <c r="A194" s="32" t="s">
        <v>56</v>
      </c>
      <c r="B194" s="39">
        <f t="shared" ref="B194:B250" si="16">B14*B105</f>
        <v>0</v>
      </c>
      <c r="C194" s="39">
        <f t="shared" ref="C194:C249" si="17">(C14-J105)*C105</f>
        <v>1568052.353352</v>
      </c>
      <c r="D194" s="39">
        <f t="shared" ref="D194:E209" si="18">D14*D105</f>
        <v>22135.918986000001</v>
      </c>
      <c r="E194" s="39">
        <f t="shared" si="18"/>
        <v>124423.387116</v>
      </c>
      <c r="F194" s="39">
        <f>($F$192*F105)*(12+1+0.27+(0.086*13))</f>
        <v>130120.61172</v>
      </c>
      <c r="G194" s="39">
        <f t="shared" ref="G194:G248" si="19">($G$192*G105)*12</f>
        <v>6898.32</v>
      </c>
      <c r="H194" s="39">
        <f>($H$192*H105)*(12+1+0.27+(0.086*13))</f>
        <v>260371.00320000001</v>
      </c>
      <c r="I194" s="39">
        <f t="shared" ref="I194:I250" si="20">I14*I105</f>
        <v>43469.975999999995</v>
      </c>
      <c r="J194" s="39">
        <f>SUM(B194:I194)</f>
        <v>2155471.5703739999</v>
      </c>
    </row>
    <row r="195" spans="1:11">
      <c r="A195" s="32" t="s">
        <v>57</v>
      </c>
      <c r="B195" s="39">
        <f t="shared" si="16"/>
        <v>96127.2</v>
      </c>
      <c r="C195" s="39">
        <f t="shared" si="17"/>
        <v>0</v>
      </c>
      <c r="D195" s="39">
        <f t="shared" si="18"/>
        <v>0</v>
      </c>
      <c r="E195" s="39">
        <f t="shared" si="18"/>
        <v>30914.573670000002</v>
      </c>
      <c r="F195" s="39">
        <f t="shared" ref="F195:F250" si="21">($F$192*F106)*(12+1+0.27+(0.086*13))</f>
        <v>0</v>
      </c>
      <c r="G195" s="39">
        <f t="shared" si="19"/>
        <v>0</v>
      </c>
      <c r="H195" s="39">
        <f t="shared" ref="H195:H250" si="22">($H$192*H106)*(12+1+0.27+(0.086*13))</f>
        <v>0</v>
      </c>
      <c r="I195" s="39">
        <f t="shared" si="20"/>
        <v>0</v>
      </c>
      <c r="J195" s="39">
        <f t="shared" ref="J195:J202" si="23">SUM(B195:I195)</f>
        <v>127041.77367</v>
      </c>
    </row>
    <row r="196" spans="1:11">
      <c r="A196" s="32" t="s">
        <v>58</v>
      </c>
      <c r="B196" s="39">
        <f t="shared" si="16"/>
        <v>0</v>
      </c>
      <c r="C196" s="39">
        <f t="shared" si="17"/>
        <v>504172.48475100001</v>
      </c>
      <c r="D196" s="39">
        <f t="shared" si="18"/>
        <v>0</v>
      </c>
      <c r="E196" s="39">
        <f t="shared" si="18"/>
        <v>33383.972295</v>
      </c>
      <c r="F196" s="39">
        <f t="shared" si="21"/>
        <v>56381.823960000002</v>
      </c>
      <c r="G196" s="39">
        <f t="shared" si="19"/>
        <v>7267.7999999999993</v>
      </c>
      <c r="H196" s="39">
        <f t="shared" si="22"/>
        <v>112819.01119999999</v>
      </c>
      <c r="I196" s="39">
        <f t="shared" si="20"/>
        <v>23710.895999999997</v>
      </c>
      <c r="J196" s="39">
        <f t="shared" si="23"/>
        <v>737735.98820599995</v>
      </c>
    </row>
    <row r="197" spans="1:11">
      <c r="A197" s="32" t="s">
        <v>59</v>
      </c>
      <c r="B197" s="39">
        <f t="shared" si="16"/>
        <v>0</v>
      </c>
      <c r="C197" s="39">
        <f t="shared" si="17"/>
        <v>1250144.501196</v>
      </c>
      <c r="D197" s="39">
        <f t="shared" si="18"/>
        <v>11959.086971999999</v>
      </c>
      <c r="E197" s="39">
        <f t="shared" si="18"/>
        <v>31393.139294999997</v>
      </c>
      <c r="F197" s="39">
        <f t="shared" si="21"/>
        <v>179322.10428</v>
      </c>
      <c r="G197" s="39">
        <f t="shared" si="19"/>
        <v>27795.840000000004</v>
      </c>
      <c r="H197" s="39">
        <f t="shared" si="22"/>
        <v>358822.4192</v>
      </c>
      <c r="I197" s="39">
        <f t="shared" si="20"/>
        <v>75084.504000000001</v>
      </c>
      <c r="J197" s="39">
        <f t="shared" si="23"/>
        <v>1934521.5949430002</v>
      </c>
    </row>
    <row r="198" spans="1:11">
      <c r="A198" s="32" t="s">
        <v>60</v>
      </c>
      <c r="B198" s="39">
        <f t="shared" si="16"/>
        <v>48766</v>
      </c>
      <c r="C198" s="39">
        <f t="shared" si="17"/>
        <v>0</v>
      </c>
      <c r="D198" s="39">
        <f t="shared" si="18"/>
        <v>0</v>
      </c>
      <c r="E198" s="39">
        <f t="shared" si="18"/>
        <v>15682.863527999998</v>
      </c>
      <c r="F198" s="39">
        <f t="shared" si="21"/>
        <v>0</v>
      </c>
      <c r="G198" s="39">
        <f t="shared" si="19"/>
        <v>0</v>
      </c>
      <c r="H198" s="39">
        <f t="shared" si="22"/>
        <v>0</v>
      </c>
      <c r="I198" s="39">
        <f t="shared" si="20"/>
        <v>0</v>
      </c>
      <c r="J198" s="39">
        <f t="shared" si="23"/>
        <v>64448.863528000002</v>
      </c>
    </row>
    <row r="199" spans="1:11">
      <c r="A199" s="32" t="s">
        <v>61</v>
      </c>
      <c r="B199" s="39">
        <f t="shared" si="16"/>
        <v>0</v>
      </c>
      <c r="C199" s="39">
        <f t="shared" si="17"/>
        <v>1422363.9601169999</v>
      </c>
      <c r="D199" s="39">
        <f t="shared" si="18"/>
        <v>0</v>
      </c>
      <c r="E199" s="39">
        <f t="shared" si="18"/>
        <v>21523.967550000001</v>
      </c>
      <c r="F199" s="39">
        <f t="shared" si="21"/>
        <v>205336.03992000004</v>
      </c>
      <c r="G199" s="39">
        <f t="shared" si="19"/>
        <v>40904.520000000004</v>
      </c>
      <c r="H199" s="39">
        <f t="shared" si="22"/>
        <v>410875.23840000003</v>
      </c>
      <c r="I199" s="39">
        <f t="shared" si="20"/>
        <v>94843.583999999988</v>
      </c>
      <c r="J199" s="39">
        <f t="shared" si="23"/>
        <v>2195847.3099869997</v>
      </c>
    </row>
    <row r="200" spans="1:11">
      <c r="A200" s="32" t="s">
        <v>62</v>
      </c>
      <c r="B200" s="39">
        <f t="shared" si="16"/>
        <v>0</v>
      </c>
      <c r="C200" s="39">
        <f t="shared" si="17"/>
        <v>1897564.1585009999</v>
      </c>
      <c r="D200" s="39">
        <f t="shared" si="18"/>
        <v>0</v>
      </c>
      <c r="E200" s="39">
        <f t="shared" si="18"/>
        <v>21524.120691</v>
      </c>
      <c r="F200" s="39">
        <f t="shared" si="21"/>
        <v>298657.75895999995</v>
      </c>
      <c r="G200" s="39">
        <f t="shared" si="19"/>
        <v>34004.76</v>
      </c>
      <c r="H200" s="39">
        <f t="shared" si="22"/>
        <v>597611.0736</v>
      </c>
      <c r="I200" s="39">
        <f t="shared" si="20"/>
        <v>114602.664</v>
      </c>
      <c r="J200" s="39">
        <f t="shared" si="23"/>
        <v>2963964.5357519994</v>
      </c>
    </row>
    <row r="201" spans="1:11">
      <c r="A201" s="32" t="s">
        <v>63</v>
      </c>
      <c r="B201" s="39">
        <f t="shared" si="16"/>
        <v>0</v>
      </c>
      <c r="C201" s="39">
        <f t="shared" si="17"/>
        <v>370090.80104699999</v>
      </c>
      <c r="D201" s="39">
        <f t="shared" si="18"/>
        <v>4067.7312419999998</v>
      </c>
      <c r="E201" s="39">
        <f t="shared" si="18"/>
        <v>53592.305514</v>
      </c>
      <c r="F201" s="39">
        <f t="shared" si="21"/>
        <v>20988.351119999999</v>
      </c>
      <c r="G201" s="39">
        <f t="shared" si="19"/>
        <v>2533.6800000000003</v>
      </c>
      <c r="H201" s="39">
        <f t="shared" si="22"/>
        <v>41997.264000000003</v>
      </c>
      <c r="I201" s="39">
        <f t="shared" si="20"/>
        <v>15807.263999999999</v>
      </c>
      <c r="J201" s="39">
        <f t="shared" si="23"/>
        <v>509077.39692300005</v>
      </c>
    </row>
    <row r="202" spans="1:11">
      <c r="A202" s="32" t="s">
        <v>64</v>
      </c>
      <c r="B202" s="39">
        <f t="shared" si="16"/>
        <v>0</v>
      </c>
      <c r="C202" s="39">
        <f t="shared" si="17"/>
        <v>110529.36360899999</v>
      </c>
      <c r="D202" s="39">
        <f t="shared" si="18"/>
        <v>0</v>
      </c>
      <c r="E202" s="39">
        <f t="shared" si="18"/>
        <v>6722.8899000000001</v>
      </c>
      <c r="F202" s="39">
        <f t="shared" si="21"/>
        <v>9292.0581600000005</v>
      </c>
      <c r="G202" s="39">
        <f t="shared" si="19"/>
        <v>0</v>
      </c>
      <c r="H202" s="39">
        <f t="shared" si="22"/>
        <v>18593.481600000003</v>
      </c>
      <c r="I202" s="39">
        <f t="shared" si="20"/>
        <v>3951.8159999999998</v>
      </c>
      <c r="J202" s="39">
        <f t="shared" si="23"/>
        <v>149089.60926899998</v>
      </c>
      <c r="K202" s="58"/>
    </row>
    <row r="203" spans="1:11">
      <c r="A203" s="32" t="s">
        <v>65</v>
      </c>
      <c r="B203" s="39">
        <f t="shared" si="16"/>
        <v>0</v>
      </c>
      <c r="C203" s="39">
        <f t="shared" si="17"/>
        <v>4229101.1204939997</v>
      </c>
      <c r="D203" s="39">
        <f t="shared" si="18"/>
        <v>10939.167912000001</v>
      </c>
      <c r="E203" s="39">
        <f t="shared" si="18"/>
        <v>45052.703930999996</v>
      </c>
      <c r="F203" s="39">
        <f t="shared" si="21"/>
        <v>570098.74548000004</v>
      </c>
      <c r="G203" s="39">
        <f t="shared" si="19"/>
        <v>108317.63999999998</v>
      </c>
      <c r="H203" s="39">
        <f t="shared" si="22"/>
        <v>1140758.0736</v>
      </c>
      <c r="I203" s="39">
        <f t="shared" si="20"/>
        <v>320097.09599999996</v>
      </c>
      <c r="J203" s="39">
        <f>SUM(B203:I203)</f>
        <v>6424364.547416999</v>
      </c>
    </row>
    <row r="204" spans="1:11">
      <c r="A204" s="32" t="s">
        <v>66</v>
      </c>
      <c r="B204" s="39">
        <f t="shared" si="16"/>
        <v>161547.90000000002</v>
      </c>
      <c r="C204" s="39">
        <f t="shared" si="17"/>
        <v>0</v>
      </c>
      <c r="D204" s="39">
        <f t="shared" si="18"/>
        <v>0</v>
      </c>
      <c r="E204" s="39">
        <f t="shared" si="18"/>
        <v>51952.624827</v>
      </c>
      <c r="F204" s="39">
        <f t="shared" si="21"/>
        <v>0</v>
      </c>
      <c r="G204" s="39">
        <f t="shared" si="19"/>
        <v>0</v>
      </c>
      <c r="H204" s="39">
        <f t="shared" si="22"/>
        <v>0</v>
      </c>
      <c r="I204" s="39">
        <f t="shared" si="20"/>
        <v>0</v>
      </c>
      <c r="J204" s="39">
        <f t="shared" ref="J204:J217" si="24">SUM(B204:I204)</f>
        <v>213500.52482700002</v>
      </c>
    </row>
    <row r="205" spans="1:11">
      <c r="A205" s="32" t="s">
        <v>67</v>
      </c>
      <c r="B205" s="39">
        <f t="shared" si="16"/>
        <v>0</v>
      </c>
      <c r="C205" s="39">
        <f t="shared" si="17"/>
        <v>427848.92648999993</v>
      </c>
      <c r="D205" s="39">
        <f t="shared" si="18"/>
        <v>0</v>
      </c>
      <c r="E205" s="39">
        <f t="shared" si="18"/>
        <v>0</v>
      </c>
      <c r="F205" s="39">
        <f t="shared" si="21"/>
        <v>50992.079160000001</v>
      </c>
      <c r="G205" s="39">
        <f t="shared" si="19"/>
        <v>7210.68</v>
      </c>
      <c r="H205" s="39">
        <f t="shared" si="22"/>
        <v>102034.28959999999</v>
      </c>
      <c r="I205" s="39">
        <f t="shared" si="20"/>
        <v>19759.080000000002</v>
      </c>
      <c r="J205" s="39">
        <f t="shared" si="24"/>
        <v>607845.05524999986</v>
      </c>
    </row>
    <row r="206" spans="1:11">
      <c r="A206" s="32" t="s">
        <v>68</v>
      </c>
      <c r="B206" s="39">
        <f t="shared" si="16"/>
        <v>0</v>
      </c>
      <c r="C206" s="39">
        <f t="shared" si="17"/>
        <v>12649137.733413998</v>
      </c>
      <c r="D206" s="39">
        <f t="shared" si="18"/>
        <v>0</v>
      </c>
      <c r="E206" s="39">
        <f t="shared" si="18"/>
        <v>0</v>
      </c>
      <c r="F206" s="39">
        <f t="shared" si="21"/>
        <v>1578016.1298</v>
      </c>
      <c r="G206" s="39">
        <f t="shared" si="19"/>
        <v>187888.2</v>
      </c>
      <c r="H206" s="39">
        <f t="shared" si="22"/>
        <v>3157594.3168000001</v>
      </c>
      <c r="I206" s="39">
        <f t="shared" si="20"/>
        <v>616483.29599999997</v>
      </c>
      <c r="J206" s="39">
        <f t="shared" si="24"/>
        <v>18189119.676013995</v>
      </c>
    </row>
    <row r="207" spans="1:11">
      <c r="A207" s="32" t="s">
        <v>69</v>
      </c>
      <c r="B207" s="39">
        <f t="shared" si="16"/>
        <v>0</v>
      </c>
      <c r="C207" s="39">
        <f t="shared" si="17"/>
        <v>211887.57215099997</v>
      </c>
      <c r="D207" s="39">
        <f t="shared" si="18"/>
        <v>0</v>
      </c>
      <c r="E207" s="39">
        <f t="shared" si="18"/>
        <v>0</v>
      </c>
      <c r="F207" s="39">
        <f t="shared" si="21"/>
        <v>24209.104919999994</v>
      </c>
      <c r="G207" s="39">
        <f t="shared" si="19"/>
        <v>3452.5199999999995</v>
      </c>
      <c r="H207" s="39">
        <f t="shared" si="22"/>
        <v>48442.5648</v>
      </c>
      <c r="I207" s="39">
        <f t="shared" si="20"/>
        <v>7903.6319999999996</v>
      </c>
      <c r="J207" s="39">
        <f t="shared" si="24"/>
        <v>295895.39387099992</v>
      </c>
    </row>
    <row r="208" spans="1:11">
      <c r="A208" s="32" t="s">
        <v>70</v>
      </c>
      <c r="B208" s="39">
        <f t="shared" si="16"/>
        <v>0</v>
      </c>
      <c r="C208" s="39">
        <f t="shared" si="17"/>
        <v>2298289.9724879996</v>
      </c>
      <c r="D208" s="39">
        <f t="shared" si="18"/>
        <v>0</v>
      </c>
      <c r="E208" s="39">
        <f t="shared" si="18"/>
        <v>0</v>
      </c>
      <c r="F208" s="39">
        <f t="shared" si="21"/>
        <v>259749.44160000002</v>
      </c>
      <c r="G208" s="39">
        <f t="shared" si="19"/>
        <v>29151.96</v>
      </c>
      <c r="H208" s="39">
        <f t="shared" si="22"/>
        <v>519757.69280000002</v>
      </c>
      <c r="I208" s="39">
        <f t="shared" si="20"/>
        <v>118554.48</v>
      </c>
      <c r="J208" s="39">
        <f t="shared" si="24"/>
        <v>3225503.5468879994</v>
      </c>
    </row>
    <row r="209" spans="1:10">
      <c r="A209" s="32" t="s">
        <v>71</v>
      </c>
      <c r="B209" s="39">
        <f t="shared" si="16"/>
        <v>0</v>
      </c>
      <c r="C209" s="39">
        <f t="shared" si="17"/>
        <v>2772233.0996899996</v>
      </c>
      <c r="D209" s="39">
        <f t="shared" si="18"/>
        <v>6866.0325079999993</v>
      </c>
      <c r="E209" s="39">
        <f t="shared" si="18"/>
        <v>18023.472077999999</v>
      </c>
      <c r="F209" s="39">
        <f t="shared" si="21"/>
        <v>355985.16227999999</v>
      </c>
      <c r="G209" s="39">
        <f t="shared" si="19"/>
        <v>38364.720000000001</v>
      </c>
      <c r="H209" s="39">
        <f t="shared" si="22"/>
        <v>712324.41760000004</v>
      </c>
      <c r="I209" s="39">
        <f t="shared" si="20"/>
        <v>130409.928</v>
      </c>
      <c r="J209" s="39">
        <f t="shared" si="24"/>
        <v>4034206.8321559993</v>
      </c>
    </row>
    <row r="210" spans="1:10">
      <c r="A210" s="32" t="s">
        <v>72</v>
      </c>
      <c r="B210" s="39">
        <f t="shared" si="16"/>
        <v>0</v>
      </c>
      <c r="C210" s="39">
        <f t="shared" si="17"/>
        <v>86799.553094999996</v>
      </c>
      <c r="D210" s="39">
        <f t="shared" ref="D210:E225" si="25">D30*D121</f>
        <v>0</v>
      </c>
      <c r="E210" s="39">
        <f t="shared" si="25"/>
        <v>0</v>
      </c>
      <c r="F210" s="39">
        <f t="shared" si="21"/>
        <v>11728.378199999999</v>
      </c>
      <c r="G210" s="39">
        <f t="shared" si="19"/>
        <v>2865</v>
      </c>
      <c r="H210" s="39">
        <f t="shared" si="22"/>
        <v>23468.136000000002</v>
      </c>
      <c r="I210" s="39">
        <f t="shared" si="20"/>
        <v>7903.6319999999996</v>
      </c>
      <c r="J210" s="39">
        <f t="shared" si="24"/>
        <v>132764.699295</v>
      </c>
    </row>
    <row r="211" spans="1:10">
      <c r="A211" s="32" t="s">
        <v>73</v>
      </c>
      <c r="B211" s="39">
        <f t="shared" si="16"/>
        <v>0</v>
      </c>
      <c r="C211" s="39">
        <f t="shared" si="17"/>
        <v>1096249.4349120001</v>
      </c>
      <c r="D211" s="39">
        <f t="shared" si="25"/>
        <v>0</v>
      </c>
      <c r="E211" s="39">
        <f t="shared" si="25"/>
        <v>0</v>
      </c>
      <c r="F211" s="39">
        <f t="shared" si="21"/>
        <v>148787.60292</v>
      </c>
      <c r="G211" s="39">
        <f t="shared" si="19"/>
        <v>28343.879999999997</v>
      </c>
      <c r="H211" s="39">
        <f t="shared" si="22"/>
        <v>297720.68160000001</v>
      </c>
      <c r="I211" s="39">
        <f t="shared" si="20"/>
        <v>118554.48</v>
      </c>
      <c r="J211" s="39">
        <f t="shared" si="24"/>
        <v>1689656.0794319999</v>
      </c>
    </row>
    <row r="212" spans="1:10">
      <c r="A212" s="32" t="s">
        <v>74</v>
      </c>
      <c r="B212" s="39">
        <f t="shared" si="16"/>
        <v>0</v>
      </c>
      <c r="C212" s="39">
        <f t="shared" si="17"/>
        <v>805305.57804900012</v>
      </c>
      <c r="D212" s="39">
        <f t="shared" si="25"/>
        <v>2992.9877040000001</v>
      </c>
      <c r="E212" s="39">
        <f t="shared" si="25"/>
        <v>7857.0521459999991</v>
      </c>
      <c r="F212" s="39">
        <f t="shared" si="21"/>
        <v>96182.341199999995</v>
      </c>
      <c r="G212" s="39">
        <f t="shared" si="19"/>
        <v>20512.32</v>
      </c>
      <c r="H212" s="39">
        <f t="shared" si="22"/>
        <v>192460.68959999998</v>
      </c>
      <c r="I212" s="39">
        <f t="shared" si="20"/>
        <v>82988.135999999984</v>
      </c>
      <c r="J212" s="39">
        <f t="shared" si="24"/>
        <v>1208299.104699</v>
      </c>
    </row>
    <row r="213" spans="1:10">
      <c r="A213" s="32" t="s">
        <v>75</v>
      </c>
      <c r="B213" s="39">
        <f t="shared" si="16"/>
        <v>0</v>
      </c>
      <c r="C213" s="39">
        <f t="shared" si="17"/>
        <v>3111712.2550829998</v>
      </c>
      <c r="D213" s="39">
        <f t="shared" si="25"/>
        <v>0</v>
      </c>
      <c r="E213" s="39">
        <f t="shared" si="25"/>
        <v>0</v>
      </c>
      <c r="F213" s="39">
        <f t="shared" si="21"/>
        <v>489607.52543999994</v>
      </c>
      <c r="G213" s="39">
        <f t="shared" si="19"/>
        <v>69969</v>
      </c>
      <c r="H213" s="39">
        <f t="shared" si="22"/>
        <v>979696.18559999997</v>
      </c>
      <c r="I213" s="39">
        <f t="shared" si="20"/>
        <v>256868.04</v>
      </c>
      <c r="J213" s="39">
        <f t="shared" si="24"/>
        <v>4907853.0061229998</v>
      </c>
    </row>
    <row r="214" spans="1:10">
      <c r="A214" s="32" t="s">
        <v>76</v>
      </c>
      <c r="B214" s="39">
        <f t="shared" si="16"/>
        <v>210639.4</v>
      </c>
      <c r="C214" s="39">
        <f t="shared" si="17"/>
        <v>0</v>
      </c>
      <c r="D214" s="39">
        <f t="shared" si="25"/>
        <v>0</v>
      </c>
      <c r="E214" s="39">
        <f t="shared" si="25"/>
        <v>67738.705388999995</v>
      </c>
      <c r="F214" s="39">
        <f t="shared" si="21"/>
        <v>0</v>
      </c>
      <c r="G214" s="39">
        <f t="shared" si="19"/>
        <v>0</v>
      </c>
      <c r="H214" s="39">
        <f t="shared" si="22"/>
        <v>0</v>
      </c>
      <c r="I214" s="39">
        <f t="shared" si="20"/>
        <v>0</v>
      </c>
      <c r="J214" s="39">
        <f t="shared" si="24"/>
        <v>278378.10538899997</v>
      </c>
    </row>
    <row r="215" spans="1:10">
      <c r="A215" s="32" t="s">
        <v>77</v>
      </c>
      <c r="B215" s="39">
        <f t="shared" si="16"/>
        <v>929867.2</v>
      </c>
      <c r="C215" s="39">
        <f t="shared" si="17"/>
        <v>0</v>
      </c>
      <c r="D215" s="39">
        <f t="shared" si="25"/>
        <v>0</v>
      </c>
      <c r="E215" s="39">
        <f t="shared" si="25"/>
        <v>356026.15693999996</v>
      </c>
      <c r="F215" s="39">
        <f t="shared" si="21"/>
        <v>0</v>
      </c>
      <c r="G215" s="39">
        <f t="shared" si="19"/>
        <v>0</v>
      </c>
      <c r="H215" s="39">
        <f t="shared" si="22"/>
        <v>0</v>
      </c>
      <c r="I215" s="39">
        <f t="shared" si="20"/>
        <v>0</v>
      </c>
      <c r="J215" s="39">
        <f t="shared" si="24"/>
        <v>1285893.3569399999</v>
      </c>
    </row>
    <row r="216" spans="1:10">
      <c r="A216" s="32" t="s">
        <v>78</v>
      </c>
      <c r="B216" s="39">
        <f t="shared" si="16"/>
        <v>0</v>
      </c>
      <c r="C216" s="39">
        <f t="shared" si="17"/>
        <v>230345.656881</v>
      </c>
      <c r="D216" s="39">
        <f t="shared" si="25"/>
        <v>0</v>
      </c>
      <c r="E216" s="39">
        <f t="shared" si="25"/>
        <v>0</v>
      </c>
      <c r="F216" s="39">
        <f t="shared" si="21"/>
        <v>38367.328560000002</v>
      </c>
      <c r="G216" s="39">
        <f t="shared" si="19"/>
        <v>7219.2000000000007</v>
      </c>
      <c r="H216" s="39">
        <f t="shared" si="22"/>
        <v>76771.752000000008</v>
      </c>
      <c r="I216" s="39">
        <f t="shared" si="20"/>
        <v>35566.343999999997</v>
      </c>
      <c r="J216" s="39">
        <f t="shared" si="24"/>
        <v>388270.281441</v>
      </c>
    </row>
    <row r="217" spans="1:10">
      <c r="A217" s="32" t="s">
        <v>79</v>
      </c>
      <c r="B217" s="39">
        <f t="shared" si="16"/>
        <v>53944.1</v>
      </c>
      <c r="C217" s="39">
        <f t="shared" si="17"/>
        <v>0</v>
      </c>
      <c r="D217" s="39">
        <f t="shared" si="25"/>
        <v>0</v>
      </c>
      <c r="E217" s="39">
        <f t="shared" si="25"/>
        <v>17347.812480000001</v>
      </c>
      <c r="F217" s="39">
        <f t="shared" si="21"/>
        <v>0</v>
      </c>
      <c r="G217" s="39">
        <f t="shared" si="19"/>
        <v>0</v>
      </c>
      <c r="H217" s="39">
        <f t="shared" si="22"/>
        <v>0</v>
      </c>
      <c r="I217" s="39">
        <f t="shared" si="20"/>
        <v>0</v>
      </c>
      <c r="J217" s="39">
        <f t="shared" si="24"/>
        <v>71291.912479999999</v>
      </c>
    </row>
    <row r="218" spans="1:10">
      <c r="A218" s="32" t="s">
        <v>80</v>
      </c>
      <c r="B218" s="39">
        <f t="shared" si="16"/>
        <v>0</v>
      </c>
      <c r="C218" s="39">
        <f t="shared" si="17"/>
        <v>1409034.47223</v>
      </c>
      <c r="D218" s="39">
        <f t="shared" si="25"/>
        <v>0</v>
      </c>
      <c r="E218" s="39">
        <f t="shared" si="25"/>
        <v>0</v>
      </c>
      <c r="F218" s="39">
        <f t="shared" si="21"/>
        <v>173347.63115999999</v>
      </c>
      <c r="G218" s="39">
        <f t="shared" si="19"/>
        <v>20817.84</v>
      </c>
      <c r="H218" s="39">
        <f t="shared" si="22"/>
        <v>346866.77600000001</v>
      </c>
      <c r="I218" s="39">
        <f t="shared" si="20"/>
        <v>67180.872000000003</v>
      </c>
      <c r="J218" s="39">
        <f>SUM(B218:I218)</f>
        <v>2017247.59139</v>
      </c>
    </row>
    <row r="219" spans="1:10">
      <c r="A219" s="32" t="s">
        <v>81</v>
      </c>
      <c r="B219" s="39">
        <f t="shared" si="16"/>
        <v>0</v>
      </c>
      <c r="C219" s="39">
        <f t="shared" si="17"/>
        <v>1080155.081517</v>
      </c>
      <c r="D219" s="39">
        <f t="shared" si="25"/>
        <v>0</v>
      </c>
      <c r="E219" s="39">
        <f t="shared" si="25"/>
        <v>34352.129697000004</v>
      </c>
      <c r="F219" s="39">
        <f t="shared" si="21"/>
        <v>132455.49635999999</v>
      </c>
      <c r="G219" s="39">
        <f t="shared" si="19"/>
        <v>12612.72</v>
      </c>
      <c r="H219" s="39">
        <f t="shared" si="22"/>
        <v>265043.17920000001</v>
      </c>
      <c r="I219" s="39">
        <f t="shared" si="20"/>
        <v>59277.24</v>
      </c>
      <c r="J219" s="39">
        <f t="shared" ref="J219" si="26">SUM(B219:I219)</f>
        <v>1583895.846774</v>
      </c>
    </row>
    <row r="220" spans="1:10">
      <c r="A220" s="32" t="s">
        <v>82</v>
      </c>
      <c r="B220" s="39">
        <f t="shared" si="16"/>
        <v>0</v>
      </c>
      <c r="C220" s="39">
        <f t="shared" si="17"/>
        <v>232473.70421699999</v>
      </c>
      <c r="D220" s="39">
        <f t="shared" si="25"/>
        <v>0</v>
      </c>
      <c r="E220" s="39">
        <f t="shared" si="25"/>
        <v>0</v>
      </c>
      <c r="F220" s="39">
        <f t="shared" si="21"/>
        <v>32764.353599999999</v>
      </c>
      <c r="G220" s="39">
        <f t="shared" si="19"/>
        <v>6241.7999999999993</v>
      </c>
      <c r="H220" s="39">
        <f t="shared" si="22"/>
        <v>65561.145599999989</v>
      </c>
      <c r="I220" s="39">
        <f t="shared" si="20"/>
        <v>15807.263999999999</v>
      </c>
      <c r="J220" s="39">
        <f>SUM(B220:I220)</f>
        <v>352848.26741699997</v>
      </c>
    </row>
    <row r="221" spans="1:10">
      <c r="A221" s="32" t="s">
        <v>83</v>
      </c>
      <c r="B221" s="39">
        <f t="shared" si="16"/>
        <v>0</v>
      </c>
      <c r="C221" s="39">
        <f t="shared" si="17"/>
        <v>316659.75300600001</v>
      </c>
      <c r="D221" s="39">
        <f t="shared" si="25"/>
        <v>0</v>
      </c>
      <c r="E221" s="39">
        <f t="shared" si="25"/>
        <v>0</v>
      </c>
      <c r="F221" s="39">
        <f t="shared" si="21"/>
        <v>33311.241479999997</v>
      </c>
      <c r="G221" s="39">
        <f t="shared" si="19"/>
        <v>7439.88</v>
      </c>
      <c r="H221" s="39">
        <f t="shared" si="22"/>
        <v>66655.854399999997</v>
      </c>
      <c r="I221" s="39">
        <f t="shared" si="20"/>
        <v>11855.447999999999</v>
      </c>
      <c r="J221" s="39">
        <f>SUM(B221:I221)</f>
        <v>435922.17688600003</v>
      </c>
    </row>
    <row r="222" spans="1:10">
      <c r="A222" s="32" t="s">
        <v>84</v>
      </c>
      <c r="B222" s="39">
        <f t="shared" si="16"/>
        <v>0</v>
      </c>
      <c r="C222" s="39">
        <f t="shared" si="17"/>
        <v>1272584.5582080001</v>
      </c>
      <c r="D222" s="39">
        <f t="shared" si="25"/>
        <v>0</v>
      </c>
      <c r="E222" s="39">
        <f t="shared" si="25"/>
        <v>0</v>
      </c>
      <c r="F222" s="39">
        <f t="shared" si="21"/>
        <v>180886.51152</v>
      </c>
      <c r="G222" s="39">
        <f t="shared" si="19"/>
        <v>37251.360000000001</v>
      </c>
      <c r="H222" s="39">
        <f t="shared" si="22"/>
        <v>361948.71360000002</v>
      </c>
      <c r="I222" s="39">
        <f t="shared" si="20"/>
        <v>134361.74400000001</v>
      </c>
      <c r="J222" s="39">
        <f t="shared" ref="J222:J230" si="27">SUM(B222:I222)</f>
        <v>1987032.8873280003</v>
      </c>
    </row>
    <row r="223" spans="1:10">
      <c r="A223" s="32" t="s">
        <v>85</v>
      </c>
      <c r="B223" s="39">
        <f t="shared" si="16"/>
        <v>0</v>
      </c>
      <c r="C223" s="39">
        <f t="shared" si="17"/>
        <v>386306.59525499999</v>
      </c>
      <c r="D223" s="39">
        <f t="shared" si="25"/>
        <v>0</v>
      </c>
      <c r="E223" s="39">
        <f t="shared" si="25"/>
        <v>0</v>
      </c>
      <c r="F223" s="39">
        <f t="shared" si="21"/>
        <v>47135.663520000002</v>
      </c>
      <c r="G223" s="39">
        <f t="shared" si="19"/>
        <v>3942</v>
      </c>
      <c r="H223" s="39">
        <f t="shared" si="22"/>
        <v>94318.484800000006</v>
      </c>
      <c r="I223" s="39">
        <f t="shared" si="20"/>
        <v>15807.263999999999</v>
      </c>
      <c r="J223" s="39">
        <f t="shared" si="27"/>
        <v>547510.00757499994</v>
      </c>
    </row>
    <row r="224" spans="1:10">
      <c r="A224" s="32" t="s">
        <v>86</v>
      </c>
      <c r="B224" s="39">
        <f t="shared" si="16"/>
        <v>0</v>
      </c>
      <c r="C224" s="39">
        <f t="shared" si="17"/>
        <v>1110673.019997</v>
      </c>
      <c r="D224" s="39">
        <f t="shared" si="25"/>
        <v>0</v>
      </c>
      <c r="E224" s="39">
        <f t="shared" si="25"/>
        <v>0</v>
      </c>
      <c r="F224" s="39">
        <f t="shared" si="21"/>
        <v>171536.03808</v>
      </c>
      <c r="G224" s="39">
        <f t="shared" si="19"/>
        <v>27890.04</v>
      </c>
      <c r="H224" s="39">
        <f t="shared" si="22"/>
        <v>343240.30239999999</v>
      </c>
      <c r="I224" s="39">
        <f t="shared" si="20"/>
        <v>63229.055999999997</v>
      </c>
      <c r="J224" s="39">
        <f t="shared" si="27"/>
        <v>1716568.4564770001</v>
      </c>
    </row>
    <row r="225" spans="1:10">
      <c r="A225" s="32" t="s">
        <v>87</v>
      </c>
      <c r="B225" s="39">
        <f t="shared" si="16"/>
        <v>0</v>
      </c>
      <c r="C225" s="39">
        <f t="shared" si="17"/>
        <v>3549959.3770260001</v>
      </c>
      <c r="D225" s="39">
        <f t="shared" si="25"/>
        <v>0</v>
      </c>
      <c r="E225" s="39">
        <f t="shared" si="25"/>
        <v>57755.749880999996</v>
      </c>
      <c r="F225" s="39">
        <f t="shared" si="21"/>
        <v>515478.87599999999</v>
      </c>
      <c r="G225" s="39">
        <f t="shared" si="19"/>
        <v>80452.680000000008</v>
      </c>
      <c r="H225" s="39">
        <f t="shared" si="22"/>
        <v>1031467.872</v>
      </c>
      <c r="I225" s="39">
        <f t="shared" si="20"/>
        <v>197590.8</v>
      </c>
      <c r="J225" s="39">
        <f t="shared" si="27"/>
        <v>5432705.3549069995</v>
      </c>
    </row>
    <row r="226" spans="1:10">
      <c r="A226" s="32" t="s">
        <v>88</v>
      </c>
      <c r="B226" s="39">
        <f t="shared" si="16"/>
        <v>0</v>
      </c>
      <c r="C226" s="39">
        <f t="shared" si="17"/>
        <v>112145.61372299999</v>
      </c>
      <c r="D226" s="39">
        <f t="shared" ref="D226:E241" si="28">D46*D137</f>
        <v>0</v>
      </c>
      <c r="E226" s="39">
        <f t="shared" si="28"/>
        <v>0</v>
      </c>
      <c r="F226" s="39">
        <f t="shared" si="21"/>
        <v>17243.586360000001</v>
      </c>
      <c r="G226" s="39">
        <f t="shared" si="19"/>
        <v>3514.92</v>
      </c>
      <c r="H226" s="39">
        <f t="shared" si="22"/>
        <v>34504.167999999998</v>
      </c>
      <c r="I226" s="39">
        <f t="shared" si="20"/>
        <v>7903.6319999999996</v>
      </c>
      <c r="J226" s="39">
        <f t="shared" si="27"/>
        <v>175311.920083</v>
      </c>
    </row>
    <row r="227" spans="1:10">
      <c r="A227" s="32" t="s">
        <v>89</v>
      </c>
      <c r="B227" s="39">
        <f t="shared" si="16"/>
        <v>0</v>
      </c>
      <c r="C227" s="39">
        <f t="shared" si="17"/>
        <v>139331.05090199999</v>
      </c>
      <c r="D227" s="39">
        <f t="shared" si="28"/>
        <v>0</v>
      </c>
      <c r="E227" s="39">
        <f t="shared" si="28"/>
        <v>0</v>
      </c>
      <c r="F227" s="39">
        <f t="shared" si="21"/>
        <v>18921.371039999998</v>
      </c>
      <c r="G227" s="39">
        <f t="shared" si="19"/>
        <v>4167.72</v>
      </c>
      <c r="H227" s="39">
        <f t="shared" si="22"/>
        <v>37861.542399999998</v>
      </c>
      <c r="I227" s="39">
        <f t="shared" si="20"/>
        <v>7903.6319999999996</v>
      </c>
      <c r="J227" s="39">
        <f t="shared" si="27"/>
        <v>208185.31634200001</v>
      </c>
    </row>
    <row r="228" spans="1:10">
      <c r="A228" s="32" t="s">
        <v>90</v>
      </c>
      <c r="B228" s="39">
        <f t="shared" si="16"/>
        <v>0</v>
      </c>
      <c r="C228" s="39">
        <f t="shared" si="17"/>
        <v>2230569.2630009996</v>
      </c>
      <c r="D228" s="39">
        <f t="shared" si="28"/>
        <v>0</v>
      </c>
      <c r="E228" s="39">
        <f t="shared" si="28"/>
        <v>0</v>
      </c>
      <c r="F228" s="39">
        <f t="shared" si="21"/>
        <v>345365.52335999999</v>
      </c>
      <c r="G228" s="39">
        <f t="shared" si="19"/>
        <v>26534.760000000002</v>
      </c>
      <c r="H228" s="39">
        <f t="shared" si="22"/>
        <v>691074.82400000002</v>
      </c>
      <c r="I228" s="39">
        <f t="shared" si="20"/>
        <v>86939.95199999999</v>
      </c>
      <c r="J228" s="39">
        <f t="shared" si="27"/>
        <v>3380484.3223609994</v>
      </c>
    </row>
    <row r="229" spans="1:10">
      <c r="A229" s="32" t="s">
        <v>91</v>
      </c>
      <c r="B229" s="39">
        <f t="shared" si="16"/>
        <v>0</v>
      </c>
      <c r="C229" s="39">
        <f t="shared" si="17"/>
        <v>214469.069988</v>
      </c>
      <c r="D229" s="39">
        <f t="shared" si="28"/>
        <v>0</v>
      </c>
      <c r="E229" s="39">
        <f t="shared" si="28"/>
        <v>45038.155535999998</v>
      </c>
      <c r="F229" s="39">
        <f t="shared" si="21"/>
        <v>0</v>
      </c>
      <c r="G229" s="39">
        <f t="shared" si="19"/>
        <v>0</v>
      </c>
      <c r="H229" s="39">
        <f t="shared" si="22"/>
        <v>0</v>
      </c>
      <c r="I229" s="39">
        <f t="shared" si="20"/>
        <v>0</v>
      </c>
      <c r="J229" s="39">
        <f t="shared" si="27"/>
        <v>259507.22552400001</v>
      </c>
    </row>
    <row r="230" spans="1:10">
      <c r="A230" s="32" t="s">
        <v>92</v>
      </c>
      <c r="B230" s="39">
        <f t="shared" si="16"/>
        <v>0</v>
      </c>
      <c r="C230" s="39">
        <f t="shared" si="17"/>
        <v>322894.12311600003</v>
      </c>
      <c r="D230" s="39">
        <f t="shared" si="28"/>
        <v>0</v>
      </c>
      <c r="E230" s="39">
        <f t="shared" si="28"/>
        <v>0</v>
      </c>
      <c r="F230" s="39">
        <f t="shared" si="21"/>
        <v>57179.926319999999</v>
      </c>
      <c r="G230" s="39">
        <f t="shared" si="19"/>
        <v>10554.119999999999</v>
      </c>
      <c r="H230" s="39">
        <f t="shared" si="22"/>
        <v>114416.864</v>
      </c>
      <c r="I230" s="39">
        <f t="shared" si="20"/>
        <v>15807.263999999999</v>
      </c>
      <c r="J230" s="39">
        <f t="shared" si="27"/>
        <v>520852.29743600008</v>
      </c>
    </row>
    <row r="231" spans="1:10">
      <c r="A231" s="32" t="s">
        <v>93</v>
      </c>
      <c r="B231" s="39">
        <f t="shared" si="16"/>
        <v>0</v>
      </c>
      <c r="C231" s="39">
        <f t="shared" si="17"/>
        <v>88625.759519999992</v>
      </c>
      <c r="D231" s="39">
        <f t="shared" si="28"/>
        <v>0</v>
      </c>
      <c r="E231" s="39">
        <f t="shared" si="28"/>
        <v>0</v>
      </c>
      <c r="F231" s="39">
        <f t="shared" si="21"/>
        <v>7012.8550800000003</v>
      </c>
      <c r="G231" s="39">
        <f t="shared" si="19"/>
        <v>0</v>
      </c>
      <c r="H231" s="39">
        <f t="shared" si="22"/>
        <v>14032.7472</v>
      </c>
      <c r="I231" s="39">
        <f t="shared" si="20"/>
        <v>3951.8159999999998</v>
      </c>
      <c r="J231" s="39">
        <f>SUM(B231:I231)</f>
        <v>113623.17779999999</v>
      </c>
    </row>
    <row r="232" spans="1:10">
      <c r="A232" s="32" t="s">
        <v>94</v>
      </c>
      <c r="B232" s="39">
        <f t="shared" si="16"/>
        <v>26583</v>
      </c>
      <c r="C232" s="39">
        <f t="shared" si="17"/>
        <v>0</v>
      </c>
      <c r="D232" s="39">
        <f t="shared" si="28"/>
        <v>0</v>
      </c>
      <c r="E232" s="39">
        <f t="shared" si="28"/>
        <v>8549.2494659999993</v>
      </c>
      <c r="F232" s="39">
        <f t="shared" si="21"/>
        <v>0</v>
      </c>
      <c r="G232" s="39">
        <f t="shared" si="19"/>
        <v>0</v>
      </c>
      <c r="H232" s="39">
        <f t="shared" si="22"/>
        <v>0</v>
      </c>
      <c r="I232" s="39">
        <f t="shared" si="20"/>
        <v>0</v>
      </c>
      <c r="J232" s="39">
        <f t="shared" ref="J232:J234" si="29">SUM(B232:I232)</f>
        <v>35132.249466000001</v>
      </c>
    </row>
    <row r="233" spans="1:10">
      <c r="A233" s="32" t="s">
        <v>95</v>
      </c>
      <c r="B233" s="39">
        <f t="shared" si="16"/>
        <v>0</v>
      </c>
      <c r="C233" s="39">
        <f t="shared" si="17"/>
        <v>251514.49045199997</v>
      </c>
      <c r="D233" s="39">
        <f t="shared" si="28"/>
        <v>0</v>
      </c>
      <c r="E233" s="39">
        <f t="shared" si="28"/>
        <v>0</v>
      </c>
      <c r="F233" s="39">
        <f t="shared" si="21"/>
        <v>32369.690760000001</v>
      </c>
      <c r="G233" s="39">
        <f t="shared" si="19"/>
        <v>2654.76</v>
      </c>
      <c r="H233" s="39">
        <f t="shared" si="22"/>
        <v>64771.636799999993</v>
      </c>
      <c r="I233" s="39">
        <f t="shared" si="20"/>
        <v>15807.263999999999</v>
      </c>
      <c r="J233" s="39">
        <f t="shared" si="29"/>
        <v>367117.84201199998</v>
      </c>
    </row>
    <row r="234" spans="1:10">
      <c r="A234" s="32" t="s">
        <v>96</v>
      </c>
      <c r="B234" s="39">
        <f t="shared" si="16"/>
        <v>0</v>
      </c>
      <c r="C234" s="39">
        <f t="shared" si="17"/>
        <v>283876.70599500003</v>
      </c>
      <c r="D234" s="39">
        <f t="shared" si="28"/>
        <v>0</v>
      </c>
      <c r="E234" s="39">
        <f t="shared" si="28"/>
        <v>0</v>
      </c>
      <c r="F234" s="39">
        <f t="shared" si="21"/>
        <v>39319.958039999998</v>
      </c>
      <c r="G234" s="39">
        <f t="shared" si="19"/>
        <v>9213.48</v>
      </c>
      <c r="H234" s="39">
        <f t="shared" si="22"/>
        <v>78677.944000000003</v>
      </c>
      <c r="I234" s="39">
        <f t="shared" si="20"/>
        <v>27662.711999999996</v>
      </c>
      <c r="J234" s="39">
        <f t="shared" si="29"/>
        <v>438750.80003500002</v>
      </c>
    </row>
    <row r="235" spans="1:10">
      <c r="A235" s="32" t="s">
        <v>97</v>
      </c>
      <c r="B235" s="39">
        <f t="shared" si="16"/>
        <v>0</v>
      </c>
      <c r="C235" s="39">
        <f t="shared" si="17"/>
        <v>262421.19247199997</v>
      </c>
      <c r="D235" s="39">
        <f t="shared" si="28"/>
        <v>0</v>
      </c>
      <c r="E235" s="39">
        <f t="shared" si="28"/>
        <v>0</v>
      </c>
      <c r="F235" s="39">
        <f t="shared" si="21"/>
        <v>36140.497799999997</v>
      </c>
      <c r="G235" s="39">
        <f t="shared" si="19"/>
        <v>8225.16</v>
      </c>
      <c r="H235" s="39">
        <f t="shared" si="22"/>
        <v>72316.704000000012</v>
      </c>
      <c r="I235" s="39">
        <f t="shared" si="20"/>
        <v>11855.447999999999</v>
      </c>
      <c r="J235" s="39">
        <f>SUM(B235:I235)</f>
        <v>390959.00227199995</v>
      </c>
    </row>
    <row r="236" spans="1:10">
      <c r="A236" s="32" t="s">
        <v>98</v>
      </c>
      <c r="B236" s="39">
        <f t="shared" si="16"/>
        <v>0</v>
      </c>
      <c r="C236" s="39">
        <f t="shared" si="17"/>
        <v>240217.89144599999</v>
      </c>
      <c r="D236" s="39">
        <f t="shared" si="28"/>
        <v>0</v>
      </c>
      <c r="E236" s="39">
        <f t="shared" si="28"/>
        <v>0</v>
      </c>
      <c r="F236" s="39">
        <f t="shared" si="21"/>
        <v>36602.064839999999</v>
      </c>
      <c r="G236" s="39">
        <f t="shared" si="19"/>
        <v>4229.76</v>
      </c>
      <c r="H236" s="39">
        <f t="shared" si="22"/>
        <v>73239.628800000006</v>
      </c>
      <c r="I236" s="39">
        <f t="shared" si="20"/>
        <v>15807.263999999999</v>
      </c>
      <c r="J236" s="39">
        <f t="shared" ref="J236:J250" si="30">SUM(B236:I236)</f>
        <v>370096.60908600001</v>
      </c>
    </row>
    <row r="237" spans="1:10">
      <c r="A237" s="32" t="s">
        <v>99</v>
      </c>
      <c r="B237" s="39">
        <f t="shared" si="16"/>
        <v>67734.600000000006</v>
      </c>
      <c r="C237" s="39">
        <f t="shared" si="17"/>
        <v>0</v>
      </c>
      <c r="D237" s="39">
        <f t="shared" si="28"/>
        <v>0</v>
      </c>
      <c r="E237" s="39">
        <f t="shared" si="28"/>
        <v>21783.082122</v>
      </c>
      <c r="F237" s="39">
        <f t="shared" si="21"/>
        <v>0</v>
      </c>
      <c r="G237" s="39">
        <f t="shared" si="19"/>
        <v>0</v>
      </c>
      <c r="H237" s="39">
        <f t="shared" si="22"/>
        <v>0</v>
      </c>
      <c r="I237" s="39">
        <f t="shared" si="20"/>
        <v>0</v>
      </c>
      <c r="J237" s="39">
        <f t="shared" si="30"/>
        <v>89517.682121999998</v>
      </c>
    </row>
    <row r="238" spans="1:10">
      <c r="A238" s="32" t="s">
        <v>100</v>
      </c>
      <c r="B238" s="39">
        <f t="shared" si="16"/>
        <v>0</v>
      </c>
      <c r="C238" s="39">
        <f t="shared" si="17"/>
        <v>90492.548309999998</v>
      </c>
      <c r="D238" s="39">
        <f t="shared" si="28"/>
        <v>0</v>
      </c>
      <c r="E238" s="39">
        <f t="shared" si="28"/>
        <v>0</v>
      </c>
      <c r="F238" s="39">
        <f t="shared" si="21"/>
        <v>9116.6684399999995</v>
      </c>
      <c r="G238" s="39">
        <f t="shared" si="19"/>
        <v>0</v>
      </c>
      <c r="H238" s="39">
        <f t="shared" si="22"/>
        <v>18242.588800000001</v>
      </c>
      <c r="I238" s="39">
        <f t="shared" si="20"/>
        <v>3951.8159999999998</v>
      </c>
      <c r="J238" s="39">
        <f t="shared" si="30"/>
        <v>121803.62155</v>
      </c>
    </row>
    <row r="239" spans="1:10">
      <c r="A239" s="32" t="s">
        <v>101</v>
      </c>
      <c r="B239" s="39">
        <f t="shared" si="16"/>
        <v>0</v>
      </c>
      <c r="C239" s="39">
        <f t="shared" si="17"/>
        <v>131074.607028</v>
      </c>
      <c r="D239" s="39">
        <f t="shared" si="28"/>
        <v>0</v>
      </c>
      <c r="E239" s="39">
        <f t="shared" si="28"/>
        <v>0</v>
      </c>
      <c r="F239" s="39">
        <f t="shared" si="21"/>
        <v>22711.314119999999</v>
      </c>
      <c r="G239" s="39">
        <f t="shared" si="19"/>
        <v>2293.3200000000002</v>
      </c>
      <c r="H239" s="39">
        <f t="shared" si="22"/>
        <v>45444.977599999998</v>
      </c>
      <c r="I239" s="39">
        <f t="shared" si="20"/>
        <v>3951.8159999999998</v>
      </c>
      <c r="J239" s="39">
        <f t="shared" si="30"/>
        <v>205476.03474799998</v>
      </c>
    </row>
    <row r="240" spans="1:10">
      <c r="A240" s="32" t="s">
        <v>102</v>
      </c>
      <c r="B240" s="39">
        <f t="shared" si="16"/>
        <v>0</v>
      </c>
      <c r="C240" s="39">
        <f t="shared" si="17"/>
        <v>404337.263454</v>
      </c>
      <c r="D240" s="39">
        <f t="shared" si="28"/>
        <v>0</v>
      </c>
      <c r="E240" s="39">
        <f t="shared" si="28"/>
        <v>0</v>
      </c>
      <c r="F240" s="39">
        <f t="shared" si="21"/>
        <v>55009.784280000007</v>
      </c>
      <c r="G240" s="39">
        <f t="shared" si="19"/>
        <v>6811.68</v>
      </c>
      <c r="H240" s="39">
        <f t="shared" si="22"/>
        <v>110074.1296</v>
      </c>
      <c r="I240" s="39">
        <f t="shared" si="20"/>
        <v>23710.895999999997</v>
      </c>
      <c r="J240" s="39">
        <f t="shared" si="30"/>
        <v>599943.75333400001</v>
      </c>
    </row>
    <row r="241" spans="1:12">
      <c r="A241" s="32" t="s">
        <v>103</v>
      </c>
      <c r="B241" s="39">
        <f t="shared" si="16"/>
        <v>177196.19999999998</v>
      </c>
      <c r="C241" s="39">
        <f t="shared" si="17"/>
        <v>0</v>
      </c>
      <c r="D241" s="39">
        <f t="shared" si="28"/>
        <v>0</v>
      </c>
      <c r="E241" s="39">
        <f t="shared" si="28"/>
        <v>56985.756933000004</v>
      </c>
      <c r="F241" s="39">
        <f t="shared" si="21"/>
        <v>0</v>
      </c>
      <c r="G241" s="39">
        <f t="shared" si="19"/>
        <v>0</v>
      </c>
      <c r="H241" s="39">
        <f t="shared" si="22"/>
        <v>0</v>
      </c>
      <c r="I241" s="39">
        <f t="shared" si="20"/>
        <v>0</v>
      </c>
      <c r="J241" s="39">
        <f t="shared" si="30"/>
        <v>234181.95693299998</v>
      </c>
    </row>
    <row r="242" spans="1:12">
      <c r="A242" s="32" t="s">
        <v>104</v>
      </c>
      <c r="B242" s="39">
        <f t="shared" si="16"/>
        <v>164321.9</v>
      </c>
      <c r="C242" s="39">
        <f t="shared" si="17"/>
        <v>0</v>
      </c>
      <c r="D242" s="39">
        <f t="shared" ref="D242:E250" si="31">D62*D153</f>
        <v>0</v>
      </c>
      <c r="E242" s="39">
        <f t="shared" si="31"/>
        <v>52844.977433999993</v>
      </c>
      <c r="F242" s="39">
        <f t="shared" si="21"/>
        <v>0</v>
      </c>
      <c r="G242" s="39">
        <f t="shared" si="19"/>
        <v>0</v>
      </c>
      <c r="H242" s="39">
        <f t="shared" si="22"/>
        <v>0</v>
      </c>
      <c r="I242" s="39">
        <f t="shared" si="20"/>
        <v>0</v>
      </c>
      <c r="J242" s="39">
        <f t="shared" si="30"/>
        <v>217166.87743399999</v>
      </c>
    </row>
    <row r="243" spans="1:12">
      <c r="A243" s="32" t="s">
        <v>105</v>
      </c>
      <c r="B243" s="39">
        <f t="shared" si="16"/>
        <v>0</v>
      </c>
      <c r="C243" s="39">
        <f t="shared" si="17"/>
        <v>247514.14124999999</v>
      </c>
      <c r="D243" s="39">
        <f t="shared" si="31"/>
        <v>19801.131300000001</v>
      </c>
      <c r="E243" s="39">
        <f t="shared" si="31"/>
        <v>51980.496488999997</v>
      </c>
      <c r="F243" s="39">
        <f t="shared" si="21"/>
        <v>0</v>
      </c>
      <c r="G243" s="39">
        <f t="shared" si="19"/>
        <v>0</v>
      </c>
      <c r="H243" s="39">
        <f t="shared" si="22"/>
        <v>0</v>
      </c>
      <c r="I243" s="39">
        <f t="shared" si="20"/>
        <v>0</v>
      </c>
      <c r="J243" s="39">
        <f t="shared" si="30"/>
        <v>319295.76903899998</v>
      </c>
    </row>
    <row r="244" spans="1:12">
      <c r="A244" s="32" t="s">
        <v>106</v>
      </c>
      <c r="B244" s="39">
        <f t="shared" si="16"/>
        <v>0</v>
      </c>
      <c r="C244" s="39">
        <f t="shared" si="17"/>
        <v>2045093.1534149998</v>
      </c>
      <c r="D244" s="39">
        <f t="shared" si="31"/>
        <v>5842.4822909999993</v>
      </c>
      <c r="E244" s="39">
        <f t="shared" si="31"/>
        <v>136527.19233299998</v>
      </c>
      <c r="F244" s="39">
        <f t="shared" si="21"/>
        <v>198288.36588</v>
      </c>
      <c r="G244" s="39">
        <f t="shared" si="19"/>
        <v>24505.08</v>
      </c>
      <c r="H244" s="39">
        <f t="shared" si="22"/>
        <v>396773.25439999998</v>
      </c>
      <c r="I244" s="39">
        <f t="shared" si="20"/>
        <v>82988.135999999984</v>
      </c>
      <c r="J244" s="39">
        <f t="shared" si="30"/>
        <v>2890017.6643189997</v>
      </c>
    </row>
    <row r="245" spans="1:12">
      <c r="A245" s="32" t="s">
        <v>107</v>
      </c>
      <c r="B245" s="39">
        <f t="shared" si="16"/>
        <v>11559.300000000001</v>
      </c>
      <c r="C245" s="39">
        <f t="shared" si="17"/>
        <v>0</v>
      </c>
      <c r="D245" s="39">
        <f t="shared" si="31"/>
        <v>0</v>
      </c>
      <c r="E245" s="39">
        <f t="shared" si="31"/>
        <v>3717.1914929999998</v>
      </c>
      <c r="F245" s="39">
        <f t="shared" si="21"/>
        <v>0</v>
      </c>
      <c r="G245" s="39">
        <f t="shared" si="19"/>
        <v>0</v>
      </c>
      <c r="H245" s="39">
        <f t="shared" si="22"/>
        <v>0</v>
      </c>
      <c r="I245" s="39">
        <f t="shared" si="20"/>
        <v>0</v>
      </c>
      <c r="J245" s="39">
        <f t="shared" si="30"/>
        <v>15276.491493000001</v>
      </c>
    </row>
    <row r="246" spans="1:12">
      <c r="A246" s="32" t="s">
        <v>108</v>
      </c>
      <c r="B246" s="39">
        <f t="shared" si="16"/>
        <v>0</v>
      </c>
      <c r="C246" s="39">
        <f t="shared" si="17"/>
        <v>27301.058634000001</v>
      </c>
      <c r="D246" s="39">
        <f t="shared" si="31"/>
        <v>0</v>
      </c>
      <c r="E246" s="39">
        <f t="shared" si="31"/>
        <v>0</v>
      </c>
      <c r="F246" s="39">
        <f t="shared" si="21"/>
        <v>5127.4515600000004</v>
      </c>
      <c r="G246" s="39">
        <f t="shared" si="19"/>
        <v>855.59999999999991</v>
      </c>
      <c r="H246" s="39">
        <f t="shared" si="22"/>
        <v>10259.951999999999</v>
      </c>
      <c r="I246" s="39">
        <f t="shared" si="20"/>
        <v>3951.8159999999998</v>
      </c>
      <c r="J246" s="39">
        <f t="shared" si="30"/>
        <v>47495.878193999997</v>
      </c>
    </row>
    <row r="247" spans="1:12">
      <c r="A247" s="32" t="s">
        <v>109</v>
      </c>
      <c r="B247" s="39">
        <f t="shared" si="16"/>
        <v>35355.300000000003</v>
      </c>
      <c r="C247" s="39">
        <f t="shared" si="17"/>
        <v>0</v>
      </c>
      <c r="D247" s="39">
        <f t="shared" si="31"/>
        <v>0</v>
      </c>
      <c r="E247" s="39">
        <f t="shared" si="31"/>
        <v>11370.259827</v>
      </c>
      <c r="F247" s="39">
        <f t="shared" si="21"/>
        <v>0</v>
      </c>
      <c r="G247" s="39">
        <f t="shared" si="19"/>
        <v>0</v>
      </c>
      <c r="H247" s="39">
        <f t="shared" si="22"/>
        <v>0</v>
      </c>
      <c r="I247" s="39">
        <f t="shared" si="20"/>
        <v>0</v>
      </c>
      <c r="J247" s="39">
        <f t="shared" si="30"/>
        <v>46725.559827000005</v>
      </c>
    </row>
    <row r="248" spans="1:12">
      <c r="A248" s="32" t="s">
        <v>110</v>
      </c>
      <c r="B248" s="39">
        <f t="shared" si="16"/>
        <v>0</v>
      </c>
      <c r="C248" s="39">
        <f t="shared" si="17"/>
        <v>736419.2340060001</v>
      </c>
      <c r="D248" s="39">
        <f t="shared" si="31"/>
        <v>0</v>
      </c>
      <c r="E248" s="39">
        <f t="shared" si="31"/>
        <v>10891.694202000001</v>
      </c>
      <c r="F248" s="39">
        <f t="shared" si="21"/>
        <v>93514.374360000002</v>
      </c>
      <c r="G248" s="39">
        <f t="shared" si="19"/>
        <v>14556.48</v>
      </c>
      <c r="H248" s="39">
        <f t="shared" si="22"/>
        <v>187122.1312</v>
      </c>
      <c r="I248" s="39">
        <f t="shared" si="20"/>
        <v>35566.343999999997</v>
      </c>
      <c r="J248" s="39">
        <f t="shared" si="30"/>
        <v>1078070.2577680002</v>
      </c>
    </row>
    <row r="249" spans="1:12">
      <c r="A249" s="32" t="s">
        <v>111</v>
      </c>
      <c r="B249" s="39">
        <f t="shared" si="16"/>
        <v>0</v>
      </c>
      <c r="C249" s="39">
        <f t="shared" si="17"/>
        <v>19652.451936000001</v>
      </c>
      <c r="D249" s="39">
        <f t="shared" si="31"/>
        <v>0</v>
      </c>
      <c r="E249" s="39">
        <f t="shared" si="31"/>
        <v>0</v>
      </c>
      <c r="F249" s="39">
        <f t="shared" si="21"/>
        <v>0</v>
      </c>
      <c r="G249" s="39">
        <f t="shared" ref="G249:G250" si="32">($F$192*G160)*13</f>
        <v>0</v>
      </c>
      <c r="H249" s="39">
        <f t="shared" si="22"/>
        <v>0</v>
      </c>
      <c r="I249" s="39">
        <f t="shared" si="20"/>
        <v>0</v>
      </c>
      <c r="J249" s="39">
        <f t="shared" si="30"/>
        <v>19652.451936000001</v>
      </c>
    </row>
    <row r="250" spans="1:12">
      <c r="A250" s="32" t="s">
        <v>112</v>
      </c>
      <c r="B250" s="39">
        <f t="shared" si="16"/>
        <v>0</v>
      </c>
      <c r="C250" s="39">
        <f>(B70-J161)*C161</f>
        <v>0</v>
      </c>
      <c r="D250" s="39">
        <f t="shared" si="31"/>
        <v>0</v>
      </c>
      <c r="E250" s="39">
        <f t="shared" si="31"/>
        <v>0</v>
      </c>
      <c r="F250" s="39">
        <f t="shared" si="21"/>
        <v>0</v>
      </c>
      <c r="G250" s="39">
        <f t="shared" si="32"/>
        <v>3519.9391499999997</v>
      </c>
      <c r="H250" s="39">
        <f t="shared" si="22"/>
        <v>0</v>
      </c>
      <c r="I250" s="39">
        <f t="shared" si="20"/>
        <v>0</v>
      </c>
      <c r="J250" s="39">
        <f t="shared" si="30"/>
        <v>3519.9391499999997</v>
      </c>
    </row>
    <row r="251" spans="1:12">
      <c r="B251" s="42">
        <f t="shared" ref="B251:I251" si="33">SUM(B194:B250)</f>
        <v>1983642.1</v>
      </c>
      <c r="C251" s="42">
        <f t="shared" si="33"/>
        <v>52247624.705424018</v>
      </c>
      <c r="D251" s="42">
        <f t="shared" si="33"/>
        <v>84604.538914999997</v>
      </c>
      <c r="E251" s="42">
        <f t="shared" si="33"/>
        <v>1394955.682763</v>
      </c>
      <c r="F251" s="42">
        <f>SUM(F194:F250)</f>
        <v>6784661.8316400014</v>
      </c>
      <c r="G251" s="42">
        <f t="shared" si="33"/>
        <v>940985.13914999994</v>
      </c>
      <c r="H251" s="42">
        <f>SUM(H194:H250)</f>
        <v>13576033.711999999</v>
      </c>
      <c r="I251" s="42">
        <f t="shared" si="33"/>
        <v>2999428.3440000005</v>
      </c>
      <c r="J251" s="42">
        <f>SUM(J194:J250)</f>
        <v>80011936.053892016</v>
      </c>
    </row>
    <row r="252" spans="1:12">
      <c r="A252" s="77" t="s">
        <v>114</v>
      </c>
      <c r="B252" s="77" t="s">
        <v>47</v>
      </c>
      <c r="C252" s="51" t="s">
        <v>48</v>
      </c>
      <c r="D252" s="51" t="s">
        <v>49</v>
      </c>
      <c r="E252" s="77" t="s">
        <v>50</v>
      </c>
      <c r="F252" s="77" t="s">
        <v>51</v>
      </c>
      <c r="G252" s="77" t="s">
        <v>52</v>
      </c>
      <c r="H252" s="77" t="s">
        <v>53</v>
      </c>
      <c r="I252" s="77" t="s">
        <v>54</v>
      </c>
      <c r="J252" s="78" t="s">
        <v>115</v>
      </c>
    </row>
    <row r="253" spans="1:12">
      <c r="A253" s="78" t="s">
        <v>116</v>
      </c>
      <c r="B253" s="32"/>
      <c r="C253" s="39">
        <f>C162*C75</f>
        <v>3160924.3067999999</v>
      </c>
      <c r="D253" s="39">
        <f t="shared" ref="D253:I254" si="34">D162*D75</f>
        <v>0</v>
      </c>
      <c r="E253" s="39">
        <f t="shared" si="34"/>
        <v>0</v>
      </c>
      <c r="F253" s="39">
        <f>($F$192*F162)*(12+1+0.27+(0.086*13))</f>
        <v>115665.41976000002</v>
      </c>
      <c r="G253" s="39">
        <f>($G$192*G162)*12</f>
        <v>71011.319999999992</v>
      </c>
      <c r="H253" s="39">
        <f>($H$192*H162)*(12+1+0.27+(0.086*13))</f>
        <v>231449.20480000001</v>
      </c>
      <c r="I253" s="39">
        <f t="shared" si="34"/>
        <v>0</v>
      </c>
      <c r="J253" s="39">
        <f>SUM(B253:I253)</f>
        <v>3579050.2513599996</v>
      </c>
    </row>
    <row r="254" spans="1:12">
      <c r="A254" s="77" t="s">
        <v>117</v>
      </c>
      <c r="B254" s="32"/>
      <c r="C254" s="39">
        <f>C163*C76</f>
        <v>24297775.548227996</v>
      </c>
      <c r="D254" s="39">
        <f t="shared" si="34"/>
        <v>0</v>
      </c>
      <c r="E254" s="39">
        <f t="shared" si="34"/>
        <v>0</v>
      </c>
      <c r="F254" s="39">
        <f>($F$192*F163)*(12+1+0.27+(0.086*13))</f>
        <v>1889221.3758</v>
      </c>
      <c r="G254" s="39">
        <f>($G$192*G163)*12</f>
        <v>569538.96</v>
      </c>
      <c r="H254" s="39">
        <f>($H$192*H163)*(12+1+0.27+(0.086*13))</f>
        <v>3780353.5216000001</v>
      </c>
      <c r="I254" s="39">
        <f t="shared" si="34"/>
        <v>0</v>
      </c>
      <c r="J254" s="39">
        <f t="shared" ref="J254" si="35">SUM(B254:I254)</f>
        <v>30536889.405627996</v>
      </c>
    </row>
    <row r="255" spans="1:12">
      <c r="A255" s="32"/>
      <c r="B255" s="32"/>
      <c r="C255" s="60">
        <f>SUM(C253:C254)</f>
        <v>27458699.855027996</v>
      </c>
      <c r="D255" s="60">
        <f t="shared" ref="D255:I255" si="36">SUM(D253:D254)</f>
        <v>0</v>
      </c>
      <c r="E255" s="60">
        <f t="shared" si="36"/>
        <v>0</v>
      </c>
      <c r="F255" s="39">
        <f t="shared" si="36"/>
        <v>2004886.79556</v>
      </c>
      <c r="G255" s="60">
        <f t="shared" si="36"/>
        <v>640550.27999999991</v>
      </c>
      <c r="H255" s="39">
        <f t="shared" si="36"/>
        <v>4011802.7264</v>
      </c>
      <c r="I255" s="60">
        <f t="shared" si="36"/>
        <v>0</v>
      </c>
      <c r="J255" s="39">
        <f>SUM(J253:J254)</f>
        <v>34115939.656987995</v>
      </c>
    </row>
    <row r="256" spans="1:12">
      <c r="A256" s="61" t="s">
        <v>119</v>
      </c>
      <c r="B256" s="35"/>
      <c r="C256" s="62"/>
      <c r="D256" s="62"/>
      <c r="E256" s="35"/>
      <c r="F256" s="35"/>
      <c r="G256" s="35"/>
      <c r="H256" s="63">
        <f>[2]Estudo!J253-J257</f>
        <v>-1850836.6281889975</v>
      </c>
      <c r="I256" s="35"/>
      <c r="J256" s="63">
        <f>J251+J255</f>
        <v>114127875.71088001</v>
      </c>
      <c r="L256" s="50"/>
    </row>
    <row r="257" spans="1:10">
      <c r="A257" s="31" t="s">
        <v>129</v>
      </c>
      <c r="I257" s="67" t="s">
        <v>130</v>
      </c>
      <c r="J257" s="38">
        <f>J256-C255</f>
        <v>86669175.855852008</v>
      </c>
    </row>
    <row r="259" spans="1:10">
      <c r="A259" s="32" t="s">
        <v>131</v>
      </c>
      <c r="B259" s="68">
        <f>SUM(B194:B204)+B207+B244+B245+B246+B247+B248+B249+B250</f>
        <v>353355.7</v>
      </c>
      <c r="C259" s="68">
        <f>SUM(C194:C204)+C207+C244+C245+C246+C247+C248+C249+C250</f>
        <v>14392372.213208999</v>
      </c>
      <c r="D259" s="68">
        <f>SUM(D194:D204)+D207+D244+D245+D246+D247+D248+D249+D250</f>
        <v>54944.387403000008</v>
      </c>
      <c r="E259" s="68">
        <f>SUM(E194:E204)+E207+E244+E245+E246+E247+E248+E249+E250</f>
        <v>598672.88617199997</v>
      </c>
      <c r="F259" s="68">
        <f>SUM(F194:F204)+F207+F244+F245+F246+F247+F248+F249+F250+F255</f>
        <v>3796223.5858800001</v>
      </c>
      <c r="G259" s="68">
        <f>SUM(G194:G204)+G207+G244+G245+G246+G247+G248+G249+G250+G255</f>
        <v>915162.45914999989</v>
      </c>
      <c r="H259" s="68">
        <f>SUM(H194:H204)+H207+H244+H245+H246+H247+H248+H249+H250+H255</f>
        <v>7596248.1935999999</v>
      </c>
      <c r="I259" s="68">
        <f>SUM(I194:I204)+I207+I244+I245+I246+I247+I248+I249+I250+I255</f>
        <v>821977.72799999989</v>
      </c>
      <c r="J259" s="39">
        <f>SUM(B259:I259)</f>
        <v>28528957.153414</v>
      </c>
    </row>
    <row r="260" spans="1:10">
      <c r="A260" s="32" t="s">
        <v>132</v>
      </c>
      <c r="B260" s="68">
        <f t="shared" ref="B260:I260" si="37">B216+B219</f>
        <v>0</v>
      </c>
      <c r="C260" s="68">
        <f t="shared" si="37"/>
        <v>1310500.7383979999</v>
      </c>
      <c r="D260" s="68">
        <f t="shared" si="37"/>
        <v>0</v>
      </c>
      <c r="E260" s="68">
        <f t="shared" si="37"/>
        <v>34352.129697000004</v>
      </c>
      <c r="F260" s="68">
        <f t="shared" si="37"/>
        <v>170822.82491999998</v>
      </c>
      <c r="G260" s="68">
        <f t="shared" si="37"/>
        <v>19831.919999999998</v>
      </c>
      <c r="H260" s="68">
        <f t="shared" si="37"/>
        <v>341814.93119999999</v>
      </c>
      <c r="I260" s="68">
        <f t="shared" si="37"/>
        <v>94843.584000000003</v>
      </c>
      <c r="J260" s="39">
        <f t="shared" ref="J260:J264" si="38">SUM(B260:I260)</f>
        <v>1972166.1282149998</v>
      </c>
    </row>
    <row r="261" spans="1:10">
      <c r="A261" s="32" t="s">
        <v>133</v>
      </c>
      <c r="B261" s="68">
        <f t="shared" ref="B261:I261" si="39">B225+B235+B240+B243</f>
        <v>0</v>
      </c>
      <c r="C261" s="68">
        <f t="shared" si="39"/>
        <v>4464231.9742020005</v>
      </c>
      <c r="D261" s="68">
        <f t="shared" si="39"/>
        <v>19801.131300000001</v>
      </c>
      <c r="E261" s="68">
        <f t="shared" si="39"/>
        <v>109736.24636999999</v>
      </c>
      <c r="F261" s="68">
        <f t="shared" si="39"/>
        <v>606629.15807999996</v>
      </c>
      <c r="G261" s="68">
        <f t="shared" si="39"/>
        <v>95489.520000000019</v>
      </c>
      <c r="H261" s="68">
        <f t="shared" si="39"/>
        <v>1213858.7056</v>
      </c>
      <c r="I261" s="68">
        <f t="shared" si="39"/>
        <v>233157.144</v>
      </c>
      <c r="J261" s="39">
        <f t="shared" si="38"/>
        <v>6742903.8795519993</v>
      </c>
    </row>
    <row r="262" spans="1:10">
      <c r="A262" s="32" t="s">
        <v>38</v>
      </c>
      <c r="B262" s="68">
        <f t="shared" ref="B262:I262" si="40">B205+B206+B208+B209+B210+B211+B212+B213+B214+B215+B218</f>
        <v>1140506.5999999999</v>
      </c>
      <c r="C262" s="68">
        <f t="shared" si="40"/>
        <v>24656611.025450993</v>
      </c>
      <c r="D262" s="68">
        <f t="shared" si="40"/>
        <v>9859.0202119999994</v>
      </c>
      <c r="E262" s="68">
        <f t="shared" si="40"/>
        <v>449645.38655299996</v>
      </c>
      <c r="F262" s="68">
        <f t="shared" si="40"/>
        <v>3164396.2917599999</v>
      </c>
      <c r="G262" s="68">
        <f t="shared" si="40"/>
        <v>405123.60000000003</v>
      </c>
      <c r="H262" s="68">
        <f t="shared" si="40"/>
        <v>6331923.1855999986</v>
      </c>
      <c r="I262" s="68">
        <f t="shared" si="40"/>
        <v>1418701.9439999999</v>
      </c>
      <c r="J262" s="39">
        <f t="shared" si="38"/>
        <v>37576767.053575993</v>
      </c>
    </row>
    <row r="263" spans="1:10">
      <c r="A263" s="32" t="s">
        <v>134</v>
      </c>
      <c r="B263" s="68">
        <f>B251-SUM(B259:B262)</f>
        <v>489779.80000000028</v>
      </c>
      <c r="C263" s="68">
        <f>C251-SUM(C259:C262)</f>
        <v>7423908.7541640252</v>
      </c>
      <c r="D263" s="68">
        <f t="shared" ref="D263:E263" si="41">D251-SUM(D259:D262)</f>
        <v>0</v>
      </c>
      <c r="E263" s="68">
        <f t="shared" si="41"/>
        <v>202549.033971</v>
      </c>
      <c r="F263" s="68">
        <f>(F251+F255)-SUM(F259:F262)</f>
        <v>1051476.7665600013</v>
      </c>
      <c r="G263" s="68">
        <f t="shared" ref="G263:I263" si="42">(G251+G255)-SUM(G259:G262)</f>
        <v>145927.91999999993</v>
      </c>
      <c r="H263" s="68">
        <f t="shared" si="42"/>
        <v>2103991.4224000014</v>
      </c>
      <c r="I263" s="68">
        <f t="shared" si="42"/>
        <v>430747.9440000006</v>
      </c>
      <c r="J263" s="39">
        <f t="shared" si="38"/>
        <v>11848381.641095029</v>
      </c>
    </row>
    <row r="264" spans="1:10">
      <c r="A264" s="32" t="s">
        <v>135</v>
      </c>
      <c r="B264" s="39">
        <f>B255</f>
        <v>0</v>
      </c>
      <c r="C264" s="39">
        <f>C255</f>
        <v>27458699.855027996</v>
      </c>
      <c r="D264" s="39">
        <f>D255</f>
        <v>0</v>
      </c>
      <c r="E264" s="39">
        <f>E255</f>
        <v>0</v>
      </c>
      <c r="F264" s="39">
        <f>F256</f>
        <v>0</v>
      </c>
      <c r="G264" s="39">
        <f>G256</f>
        <v>0</v>
      </c>
      <c r="H264" s="39"/>
      <c r="I264" s="39">
        <f>I256</f>
        <v>0</v>
      </c>
      <c r="J264" s="39">
        <f t="shared" si="38"/>
        <v>27458699.855027996</v>
      </c>
    </row>
    <row r="265" spans="1:10">
      <c r="A265" s="59" t="s">
        <v>136</v>
      </c>
      <c r="B265" s="68">
        <f>SUM(B259:B264)</f>
        <v>1983642.1</v>
      </c>
      <c r="C265" s="68">
        <f>SUM(C259:C264)</f>
        <v>79706324.560452014</v>
      </c>
      <c r="D265" s="68">
        <f t="shared" ref="D265:I265" si="43">SUM(D259:D264)</f>
        <v>84604.538915000012</v>
      </c>
      <c r="E265" s="68">
        <f t="shared" si="43"/>
        <v>1394955.682763</v>
      </c>
      <c r="F265" s="68">
        <f>SUM(F259:F264)</f>
        <v>8789548.6272000019</v>
      </c>
      <c r="G265" s="68">
        <f t="shared" si="43"/>
        <v>1581535.41915</v>
      </c>
      <c r="H265" s="68">
        <f t="shared" si="43"/>
        <v>17587836.4384</v>
      </c>
      <c r="I265" s="68">
        <f t="shared" si="43"/>
        <v>2999428.3440000005</v>
      </c>
      <c r="J265" s="68">
        <f>SUM(J259:J264)</f>
        <v>114127875.71088001</v>
      </c>
    </row>
    <row r="266" spans="1:10">
      <c r="A266" s="34"/>
      <c r="B266" s="42">
        <f>B265-(B251+B255)</f>
        <v>0</v>
      </c>
      <c r="C266" s="42">
        <f>C265-(C251+C255)</f>
        <v>0</v>
      </c>
      <c r="D266" s="42">
        <f>D265-(D251+D255)</f>
        <v>0</v>
      </c>
      <c r="E266" s="42">
        <f>E265-(E251+E255)</f>
        <v>0</v>
      </c>
      <c r="F266" s="42">
        <f>F265-(F251+F255)</f>
        <v>0</v>
      </c>
      <c r="G266" s="42">
        <f t="shared" ref="G266:H266" si="44">G265-(G251+G255)</f>
        <v>0</v>
      </c>
      <c r="H266" s="42">
        <f t="shared" si="44"/>
        <v>0</v>
      </c>
      <c r="I266" s="42">
        <f>I265-(I251)</f>
        <v>0</v>
      </c>
      <c r="J266" s="42">
        <f>J265-(J256)</f>
        <v>0</v>
      </c>
    </row>
    <row r="267" spans="1:10">
      <c r="I267" s="69" t="s">
        <v>137</v>
      </c>
      <c r="J267" s="63">
        <f>J262-(27178.79+25511046.5)</f>
        <v>12038541.763575993</v>
      </c>
    </row>
    <row r="268" spans="1:10">
      <c r="I268" s="76" t="s">
        <v>138</v>
      </c>
      <c r="J268" s="62">
        <v>7881554.1500000004</v>
      </c>
    </row>
    <row r="278" spans="2:9">
      <c r="B278" s="75" t="s">
        <v>163</v>
      </c>
      <c r="C278" s="75" t="s">
        <v>226</v>
      </c>
      <c r="E278" s="75" t="s">
        <v>163</v>
      </c>
      <c r="F278" s="75" t="s">
        <v>226</v>
      </c>
      <c r="H278" s="75" t="s">
        <v>163</v>
      </c>
      <c r="I278" s="75" t="s">
        <v>226</v>
      </c>
    </row>
    <row r="279" spans="2:9">
      <c r="B279" s="83" t="s">
        <v>164</v>
      </c>
      <c r="C279" s="84">
        <v>56843248.450000003</v>
      </c>
      <c r="E279" s="83" t="s">
        <v>165</v>
      </c>
      <c r="F279" s="85">
        <v>7881554.1500000004</v>
      </c>
      <c r="H279" s="83" t="s">
        <v>167</v>
      </c>
      <c r="I279" s="85">
        <v>13393213.189999999</v>
      </c>
    </row>
    <row r="280" spans="2:9">
      <c r="B280" s="83"/>
      <c r="C280" s="84"/>
      <c r="E280" s="83" t="s">
        <v>166</v>
      </c>
      <c r="F280" s="84">
        <v>25538225.289999999</v>
      </c>
      <c r="H280" s="83" t="s">
        <v>200</v>
      </c>
      <c r="I280" s="85">
        <v>1029.55</v>
      </c>
    </row>
    <row r="281" spans="2:9">
      <c r="C281" s="31"/>
      <c r="E281" s="83" t="s">
        <v>169</v>
      </c>
      <c r="F281" s="84">
        <v>708428.80000000005</v>
      </c>
      <c r="H281" s="83" t="s">
        <v>201</v>
      </c>
      <c r="I281" s="84">
        <v>407763.24</v>
      </c>
    </row>
    <row r="282" spans="2:9">
      <c r="B282" s="83" t="s">
        <v>168</v>
      </c>
      <c r="C282" s="86">
        <v>41552033.469999999</v>
      </c>
      <c r="E282" s="83" t="s">
        <v>170</v>
      </c>
      <c r="F282" s="85">
        <v>1885106.21</v>
      </c>
      <c r="H282" s="83" t="s">
        <v>202</v>
      </c>
      <c r="I282" s="85">
        <v>83492.12</v>
      </c>
    </row>
    <row r="283" spans="2:9">
      <c r="C283" s="31"/>
      <c r="E283" s="83" t="s">
        <v>171</v>
      </c>
      <c r="F283" s="84">
        <v>248820.16</v>
      </c>
      <c r="H283" s="83" t="s">
        <v>203</v>
      </c>
      <c r="I283" s="84">
        <v>5.24</v>
      </c>
    </row>
    <row r="284" spans="2:9">
      <c r="B284" s="83" t="s">
        <v>187</v>
      </c>
      <c r="C284" s="84">
        <v>4343603.46</v>
      </c>
      <c r="E284" s="83" t="s">
        <v>172</v>
      </c>
      <c r="F284" s="85">
        <v>15095.28</v>
      </c>
      <c r="H284" s="83" t="s">
        <v>204</v>
      </c>
      <c r="I284" s="85">
        <v>526998.13</v>
      </c>
    </row>
    <row r="285" spans="2:9">
      <c r="C285" s="31"/>
      <c r="E285" s="83" t="s">
        <v>173</v>
      </c>
      <c r="F285" s="84">
        <v>2169051.4700000002</v>
      </c>
      <c r="H285" s="83" t="s">
        <v>205</v>
      </c>
      <c r="I285" s="84">
        <v>444.73</v>
      </c>
    </row>
    <row r="286" spans="2:9">
      <c r="B286" s="83" t="s">
        <v>188</v>
      </c>
      <c r="C286" s="85">
        <v>459.16</v>
      </c>
      <c r="E286" s="89" t="s">
        <v>174</v>
      </c>
      <c r="F286" s="90">
        <v>130.77000000000001</v>
      </c>
      <c r="H286" s="83" t="s">
        <v>206</v>
      </c>
      <c r="I286" s="85">
        <v>123574.42</v>
      </c>
    </row>
    <row r="287" spans="2:9">
      <c r="B287" s="83" t="s">
        <v>189</v>
      </c>
      <c r="C287" s="84">
        <v>76.680000000000007</v>
      </c>
      <c r="E287" s="39"/>
      <c r="F287" s="32"/>
      <c r="H287" s="83" t="s">
        <v>207</v>
      </c>
      <c r="I287" s="84">
        <v>36.049999999999997</v>
      </c>
    </row>
    <row r="288" spans="2:9">
      <c r="B288" s="83" t="s">
        <v>190</v>
      </c>
      <c r="C288" s="85">
        <v>1296.7</v>
      </c>
      <c r="E288" s="60" t="s">
        <v>230</v>
      </c>
      <c r="F288" s="54">
        <f>SUM(F279:F286)</f>
        <v>38446412.129999995</v>
      </c>
      <c r="H288" s="83" t="s">
        <v>208</v>
      </c>
      <c r="I288" s="85">
        <v>165443.76</v>
      </c>
    </row>
    <row r="289" spans="2:9">
      <c r="B289" s="83" t="s">
        <v>191</v>
      </c>
      <c r="C289" s="84">
        <v>5000002</v>
      </c>
      <c r="E289" s="42"/>
      <c r="H289" s="83" t="s">
        <v>209</v>
      </c>
      <c r="I289" s="84">
        <v>5.2</v>
      </c>
    </row>
    <row r="290" spans="2:9">
      <c r="B290" s="83" t="s">
        <v>192</v>
      </c>
      <c r="C290" s="85">
        <v>206.74</v>
      </c>
      <c r="E290" s="42"/>
      <c r="H290" s="83" t="s">
        <v>210</v>
      </c>
      <c r="I290" s="85">
        <v>448.37</v>
      </c>
    </row>
    <row r="291" spans="2:9">
      <c r="B291" s="83" t="s">
        <v>193</v>
      </c>
      <c r="C291" s="84">
        <v>639.71</v>
      </c>
      <c r="E291" s="83" t="s">
        <v>177</v>
      </c>
      <c r="F291" s="84">
        <v>587135.18000000005</v>
      </c>
      <c r="H291" s="83" t="s">
        <v>211</v>
      </c>
      <c r="I291" s="84">
        <v>24.92</v>
      </c>
    </row>
    <row r="292" spans="2:9">
      <c r="B292" s="83" t="s">
        <v>194</v>
      </c>
      <c r="C292" s="85">
        <v>583.28</v>
      </c>
      <c r="E292" s="83" t="s">
        <v>178</v>
      </c>
      <c r="F292" s="85">
        <v>499.28</v>
      </c>
      <c r="H292" s="83" t="s">
        <v>212</v>
      </c>
      <c r="I292" s="85">
        <v>74.89</v>
      </c>
    </row>
    <row r="293" spans="2:9">
      <c r="B293" s="83" t="s">
        <v>195</v>
      </c>
      <c r="C293" s="84">
        <v>864.74</v>
      </c>
      <c r="E293" s="89" t="s">
        <v>179</v>
      </c>
      <c r="F293" s="91">
        <v>78309.789999999994</v>
      </c>
      <c r="H293" s="83" t="s">
        <v>213</v>
      </c>
      <c r="I293" s="84">
        <v>1120.48</v>
      </c>
    </row>
    <row r="294" spans="2:9">
      <c r="B294" s="83" t="s">
        <v>196</v>
      </c>
      <c r="C294" s="85">
        <v>514.30999999999995</v>
      </c>
      <c r="E294" s="39"/>
      <c r="F294" s="32"/>
      <c r="H294" s="83" t="s">
        <v>214</v>
      </c>
      <c r="I294" s="85">
        <v>4318587.5</v>
      </c>
    </row>
    <row r="295" spans="2:9">
      <c r="B295" s="83" t="s">
        <v>197</v>
      </c>
      <c r="C295" s="84">
        <v>1401.18</v>
      </c>
      <c r="E295" s="39"/>
      <c r="F295" s="32"/>
      <c r="H295" s="83" t="s">
        <v>215</v>
      </c>
      <c r="I295" s="84">
        <v>728956.54</v>
      </c>
    </row>
    <row r="296" spans="2:9">
      <c r="B296" s="83" t="s">
        <v>198</v>
      </c>
      <c r="C296" s="85">
        <v>601.15</v>
      </c>
      <c r="E296" s="39"/>
      <c r="F296" s="32"/>
      <c r="H296" s="83" t="s">
        <v>216</v>
      </c>
      <c r="I296" s="85">
        <v>193352.25</v>
      </c>
    </row>
    <row r="297" spans="2:9">
      <c r="B297" s="89" t="s">
        <v>199</v>
      </c>
      <c r="C297" s="91">
        <v>19.29</v>
      </c>
      <c r="E297" s="60" t="s">
        <v>231</v>
      </c>
      <c r="F297" s="96">
        <f>SUM(F291:F296)</f>
        <v>665944.25000000012</v>
      </c>
      <c r="H297" s="83" t="s">
        <v>217</v>
      </c>
      <c r="I297" s="84">
        <v>295513.12</v>
      </c>
    </row>
    <row r="298" spans="2:9">
      <c r="B298" s="83" t="s">
        <v>180</v>
      </c>
      <c r="C298" s="85">
        <v>2</v>
      </c>
      <c r="E298" s="42"/>
      <c r="H298" s="83" t="s">
        <v>218</v>
      </c>
      <c r="I298" s="85">
        <v>538.53</v>
      </c>
    </row>
    <row r="299" spans="2:9">
      <c r="B299" s="83" t="s">
        <v>181</v>
      </c>
      <c r="C299" s="84">
        <v>71732.3</v>
      </c>
      <c r="E299" s="42"/>
      <c r="H299" s="83" t="s">
        <v>219</v>
      </c>
      <c r="I299" s="84">
        <v>155502.22</v>
      </c>
    </row>
    <row r="300" spans="2:9">
      <c r="B300" s="83" t="s">
        <v>182</v>
      </c>
      <c r="C300" s="85">
        <v>424723.11</v>
      </c>
      <c r="E300" s="42"/>
      <c r="H300" s="83" t="s">
        <v>220</v>
      </c>
      <c r="I300" s="85">
        <v>155629.29</v>
      </c>
    </row>
    <row r="301" spans="2:9">
      <c r="B301" s="83" t="s">
        <v>186</v>
      </c>
      <c r="C301" s="85">
        <v>113709.75999999999</v>
      </c>
      <c r="E301" s="42"/>
      <c r="H301" s="83" t="s">
        <v>221</v>
      </c>
      <c r="I301" s="84">
        <v>2.78</v>
      </c>
    </row>
    <row r="302" spans="2:9">
      <c r="B302" s="83" t="s">
        <v>184</v>
      </c>
      <c r="C302" s="85">
        <v>2</v>
      </c>
      <c r="E302" s="83" t="s">
        <v>183</v>
      </c>
      <c r="F302" s="84">
        <v>1752.55</v>
      </c>
      <c r="H302" s="83" t="s">
        <v>222</v>
      </c>
      <c r="I302" s="85">
        <v>821.23</v>
      </c>
    </row>
    <row r="303" spans="2:9">
      <c r="B303" s="32" t="s">
        <v>233</v>
      </c>
      <c r="C303" s="96">
        <f>SUM(C286:C302)</f>
        <v>5616834.1100000003</v>
      </c>
      <c r="E303" s="89" t="s">
        <v>185</v>
      </c>
      <c r="F303" s="91">
        <v>93418.65</v>
      </c>
      <c r="H303" s="83" t="s">
        <v>223</v>
      </c>
      <c r="I303" s="84">
        <v>1999.04</v>
      </c>
    </row>
    <row r="304" spans="2:9">
      <c r="C304" s="31"/>
      <c r="E304" s="39"/>
      <c r="F304" s="32"/>
      <c r="H304" s="83" t="s">
        <v>224</v>
      </c>
      <c r="I304" s="85">
        <v>159.41999999999999</v>
      </c>
    </row>
    <row r="305" spans="2:9">
      <c r="B305" s="92" t="s">
        <v>175</v>
      </c>
      <c r="C305" s="93">
        <v>12.41</v>
      </c>
      <c r="E305" s="60" t="s">
        <v>235</v>
      </c>
      <c r="F305" s="96">
        <f>SUM(F302:F304)</f>
        <v>95171.199999999997</v>
      </c>
      <c r="H305" s="89" t="s">
        <v>225</v>
      </c>
      <c r="I305" s="91">
        <v>2</v>
      </c>
    </row>
    <row r="306" spans="2:9">
      <c r="B306" s="92" t="s">
        <v>176</v>
      </c>
      <c r="C306" s="94">
        <v>138999.82999999999</v>
      </c>
      <c r="E306" s="42"/>
      <c r="H306" s="32"/>
      <c r="I306" s="32"/>
    </row>
    <row r="307" spans="2:9">
      <c r="B307" s="39"/>
      <c r="C307" s="32"/>
      <c r="E307" s="42"/>
      <c r="H307" s="59" t="s">
        <v>229</v>
      </c>
      <c r="I307" s="54">
        <f>SUM(I279:I306)</f>
        <v>20554738.210000001</v>
      </c>
    </row>
    <row r="308" spans="2:9">
      <c r="B308" s="39" t="s">
        <v>232</v>
      </c>
      <c r="C308" s="96">
        <f>SUM(C305:C307)</f>
        <v>139012.24</v>
      </c>
    </row>
    <row r="309" spans="2:9">
      <c r="C309" s="3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3"/>
  <sheetViews>
    <sheetView tabSelected="1" topLeftCell="A247" workbookViewId="0">
      <selection activeCell="J277" sqref="J277"/>
    </sheetView>
  </sheetViews>
  <sheetFormatPr defaultRowHeight="8.25"/>
  <cols>
    <col min="1" max="1" width="13.28515625" style="31" customWidth="1"/>
    <col min="2" max="2" width="8" style="31" customWidth="1"/>
    <col min="3" max="3" width="10" style="42" customWidth="1"/>
    <col min="4" max="4" width="6.7109375" style="42" customWidth="1"/>
    <col min="5" max="5" width="8.85546875" style="31" customWidth="1"/>
    <col min="6" max="6" width="9.5703125" style="31" customWidth="1"/>
    <col min="7" max="7" width="8.85546875" style="31" bestFit="1" customWidth="1"/>
    <col min="8" max="8" width="8.5703125" style="31" customWidth="1"/>
    <col min="9" max="9" width="8.7109375" style="31" customWidth="1"/>
    <col min="10" max="10" width="9.5703125" style="31" customWidth="1"/>
    <col min="11" max="11" width="9.42578125" style="31" bestFit="1" customWidth="1"/>
    <col min="12" max="16384" width="9.140625" style="31"/>
  </cols>
  <sheetData>
    <row r="1" spans="1:11">
      <c r="J1" s="71" t="s">
        <v>139</v>
      </c>
    </row>
    <row r="4" spans="1:11">
      <c r="B4" s="34" t="s">
        <v>44</v>
      </c>
    </row>
    <row r="5" spans="1:11">
      <c r="E5" s="38"/>
    </row>
    <row r="6" spans="1:11" ht="11.25">
      <c r="B6" s="72" t="s">
        <v>45</v>
      </c>
      <c r="E6" s="50"/>
    </row>
    <row r="7" spans="1:11" s="53" customFormat="1">
      <c r="A7" s="36" t="s">
        <v>46</v>
      </c>
      <c r="B7" s="36" t="s">
        <v>47</v>
      </c>
      <c r="C7" s="51" t="s">
        <v>48</v>
      </c>
      <c r="D7" s="51" t="s">
        <v>49</v>
      </c>
      <c r="E7" s="36" t="s">
        <v>50</v>
      </c>
      <c r="F7" s="36" t="s">
        <v>51</v>
      </c>
      <c r="G7" s="36" t="s">
        <v>52</v>
      </c>
      <c r="H7" s="36" t="s">
        <v>53</v>
      </c>
      <c r="I7" s="36" t="s">
        <v>54</v>
      </c>
      <c r="J7" s="52" t="s">
        <v>55</v>
      </c>
    </row>
    <row r="8" spans="1:11">
      <c r="A8" s="32" t="s">
        <v>56</v>
      </c>
      <c r="B8" s="54"/>
      <c r="C8" s="39">
        <v>103747.36</v>
      </c>
      <c r="D8" s="55">
        <f>1445.46</f>
        <v>1445.46</v>
      </c>
      <c r="E8" s="39">
        <v>8124.76</v>
      </c>
      <c r="F8" s="39">
        <v>9043.69</v>
      </c>
      <c r="G8" s="39">
        <v>574.86</v>
      </c>
      <c r="H8" s="39">
        <v>14929.53</v>
      </c>
      <c r="I8" s="39">
        <v>3293.18</v>
      </c>
      <c r="J8" s="39">
        <f>SUM(B8:I8)</f>
        <v>141158.84</v>
      </c>
    </row>
    <row r="9" spans="1:11">
      <c r="A9" s="32" t="s">
        <v>57</v>
      </c>
      <c r="B9" s="54">
        <v>9612.7199999999993</v>
      </c>
      <c r="C9" s="39"/>
      <c r="D9" s="39"/>
      <c r="E9" s="54">
        <v>2018.7</v>
      </c>
      <c r="F9" s="32"/>
      <c r="G9" s="32"/>
      <c r="H9" s="32"/>
      <c r="I9" s="32"/>
      <c r="J9" s="39">
        <f t="shared" ref="J9:J64" si="0">SUM(B9:I9)</f>
        <v>11631.42</v>
      </c>
    </row>
    <row r="10" spans="1:11">
      <c r="A10" s="32" t="s">
        <v>58</v>
      </c>
      <c r="B10" s="32"/>
      <c r="C10" s="39">
        <v>33674.69</v>
      </c>
      <c r="D10" s="39"/>
      <c r="E10" s="54">
        <v>2179.9499999999998</v>
      </c>
      <c r="F10" s="54">
        <v>3918.67</v>
      </c>
      <c r="G10" s="32">
        <v>605.65</v>
      </c>
      <c r="H10" s="54">
        <v>6468.98</v>
      </c>
      <c r="I10" s="54">
        <v>1796.28</v>
      </c>
      <c r="J10" s="39">
        <f t="shared" si="0"/>
        <v>48644.22</v>
      </c>
    </row>
    <row r="11" spans="1:11">
      <c r="A11" s="32" t="s">
        <v>59</v>
      </c>
      <c r="B11" s="32"/>
      <c r="C11" s="39">
        <v>83740.789999999994</v>
      </c>
      <c r="D11" s="39">
        <v>780.92</v>
      </c>
      <c r="E11" s="54">
        <v>2049.9499999999998</v>
      </c>
      <c r="F11" s="54">
        <v>12463.31</v>
      </c>
      <c r="G11" s="54">
        <v>2316.3200000000002</v>
      </c>
      <c r="H11" s="54">
        <v>20574.68</v>
      </c>
      <c r="I11" s="54">
        <v>5688.22</v>
      </c>
      <c r="J11" s="39">
        <f t="shared" si="0"/>
        <v>127614.19</v>
      </c>
    </row>
    <row r="12" spans="1:11">
      <c r="A12" s="32" t="s">
        <v>60</v>
      </c>
      <c r="B12" s="54">
        <v>4876.6000000000004</v>
      </c>
      <c r="C12" s="39"/>
      <c r="D12" s="39"/>
      <c r="E12" s="54">
        <v>1024.08</v>
      </c>
      <c r="F12" s="32"/>
      <c r="G12" s="32"/>
      <c r="H12" s="32"/>
      <c r="I12" s="32"/>
      <c r="J12" s="39">
        <f t="shared" si="0"/>
        <v>5900.68</v>
      </c>
    </row>
    <row r="13" spans="1:11">
      <c r="A13" s="32" t="s">
        <v>61</v>
      </c>
      <c r="B13" s="32"/>
      <c r="C13" s="39">
        <v>100856.72</v>
      </c>
      <c r="D13" s="39"/>
      <c r="E13" s="54">
        <v>1405.5</v>
      </c>
      <c r="F13" s="54">
        <v>14271.34</v>
      </c>
      <c r="G13" s="54">
        <v>3408.71</v>
      </c>
      <c r="H13" s="54">
        <v>23559.360000000001</v>
      </c>
      <c r="I13" s="54">
        <v>7185.12</v>
      </c>
      <c r="J13" s="39">
        <f t="shared" si="0"/>
        <v>150686.75</v>
      </c>
    </row>
    <row r="14" spans="1:11">
      <c r="A14" s="32" t="s">
        <v>62</v>
      </c>
      <c r="B14" s="54"/>
      <c r="C14" s="39">
        <v>130983.89</v>
      </c>
      <c r="D14" s="39"/>
      <c r="E14" s="54">
        <v>1405.51</v>
      </c>
      <c r="F14" s="54">
        <v>20757.419999999998</v>
      </c>
      <c r="G14" s="54">
        <v>2833.73</v>
      </c>
      <c r="H14" s="54">
        <v>34266.69</v>
      </c>
      <c r="I14" s="54">
        <v>8682.02</v>
      </c>
      <c r="J14" s="39">
        <f t="shared" si="0"/>
        <v>198929.26</v>
      </c>
    </row>
    <row r="15" spans="1:11">
      <c r="A15" s="32" t="s">
        <v>63</v>
      </c>
      <c r="B15" s="32"/>
      <c r="C15" s="39">
        <v>25822.35</v>
      </c>
      <c r="D15" s="39">
        <v>265.62</v>
      </c>
      <c r="E15" s="54">
        <v>3499.54</v>
      </c>
      <c r="F15" s="54">
        <v>1458.74</v>
      </c>
      <c r="G15" s="32">
        <v>211.14</v>
      </c>
      <c r="H15" s="56">
        <v>2408.1</v>
      </c>
      <c r="I15" s="54">
        <v>1197.52</v>
      </c>
      <c r="J15" s="39">
        <f t="shared" si="0"/>
        <v>34863.009999999995</v>
      </c>
    </row>
    <row r="16" spans="1:11">
      <c r="A16" s="32" t="s">
        <v>64</v>
      </c>
      <c r="B16" s="32"/>
      <c r="C16" s="39">
        <v>7217.49</v>
      </c>
      <c r="D16" s="39"/>
      <c r="E16" s="57">
        <v>439</v>
      </c>
      <c r="F16" s="54">
        <v>645.82000000000005</v>
      </c>
      <c r="G16" s="32"/>
      <c r="H16" s="54">
        <v>1066.1400000000001</v>
      </c>
      <c r="I16" s="32">
        <v>299.38</v>
      </c>
      <c r="J16" s="39">
        <f t="shared" si="0"/>
        <v>9667.8299999999981</v>
      </c>
      <c r="K16" s="58"/>
    </row>
    <row r="17" spans="1:10">
      <c r="A17" s="32" t="s">
        <v>65</v>
      </c>
      <c r="B17" s="32"/>
      <c r="C17" s="39">
        <v>279769.73</v>
      </c>
      <c r="D17" s="39">
        <v>714.32</v>
      </c>
      <c r="E17" s="54">
        <v>2941.91</v>
      </c>
      <c r="F17" s="54">
        <v>39623.21</v>
      </c>
      <c r="G17" s="54">
        <v>9026.4699999999993</v>
      </c>
      <c r="H17" s="54">
        <v>65410.44</v>
      </c>
      <c r="I17" s="54">
        <v>24249.78</v>
      </c>
      <c r="J17" s="39">
        <f>SUM(B17:I17)</f>
        <v>421735.86</v>
      </c>
    </row>
    <row r="18" spans="1:10">
      <c r="A18" s="32" t="s">
        <v>66</v>
      </c>
      <c r="B18" s="54">
        <v>16154.79</v>
      </c>
      <c r="C18" s="39"/>
      <c r="D18" s="39"/>
      <c r="E18" s="54">
        <v>3392.47</v>
      </c>
      <c r="F18" s="32"/>
      <c r="G18" s="32"/>
      <c r="H18" s="32"/>
      <c r="I18" s="32"/>
      <c r="J18" s="39">
        <f t="shared" si="0"/>
        <v>19547.260000000002</v>
      </c>
    </row>
    <row r="19" spans="1:10">
      <c r="A19" s="32" t="s">
        <v>67</v>
      </c>
      <c r="B19" s="32"/>
      <c r="C19" s="39">
        <v>24519.759999999998</v>
      </c>
      <c r="D19" s="39"/>
      <c r="E19" s="54"/>
      <c r="F19" s="54">
        <v>3544.07</v>
      </c>
      <c r="G19" s="32">
        <v>600.89</v>
      </c>
      <c r="H19" s="54">
        <v>5850.59</v>
      </c>
      <c r="I19" s="54">
        <v>1496.9</v>
      </c>
      <c r="J19" s="39">
        <f t="shared" si="0"/>
        <v>36012.21</v>
      </c>
    </row>
    <row r="20" spans="1:10">
      <c r="A20" s="32" t="s">
        <v>68</v>
      </c>
      <c r="B20" s="32"/>
      <c r="C20" s="39">
        <v>708816.48</v>
      </c>
      <c r="D20" s="39"/>
      <c r="E20" s="32"/>
      <c r="F20" s="54">
        <v>109675.85</v>
      </c>
      <c r="G20" s="54">
        <v>15657.35</v>
      </c>
      <c r="H20" s="54">
        <v>181054.72</v>
      </c>
      <c r="I20" s="54">
        <v>46703.28</v>
      </c>
      <c r="J20" s="39">
        <f t="shared" si="0"/>
        <v>1061907.68</v>
      </c>
    </row>
    <row r="21" spans="1:10">
      <c r="A21" s="32" t="s">
        <v>69</v>
      </c>
      <c r="B21" s="32"/>
      <c r="C21" s="39">
        <v>14137.14</v>
      </c>
      <c r="D21" s="39"/>
      <c r="E21" s="32"/>
      <c r="F21" s="54">
        <v>1682.59</v>
      </c>
      <c r="G21" s="32">
        <v>287.70999999999998</v>
      </c>
      <c r="H21" s="54">
        <v>2777.67</v>
      </c>
      <c r="I21" s="32">
        <v>598.76</v>
      </c>
      <c r="J21" s="39">
        <f t="shared" si="0"/>
        <v>19483.87</v>
      </c>
    </row>
    <row r="22" spans="1:10">
      <c r="A22" s="32" t="s">
        <v>70</v>
      </c>
      <c r="B22" s="32"/>
      <c r="C22" s="39">
        <v>128612.65</v>
      </c>
      <c r="D22" s="39"/>
      <c r="E22" s="32"/>
      <c r="F22" s="54">
        <v>18053.2</v>
      </c>
      <c r="G22" s="54">
        <v>2429.33</v>
      </c>
      <c r="H22" s="54">
        <v>29802.62</v>
      </c>
      <c r="I22" s="54">
        <v>8981.4</v>
      </c>
      <c r="J22" s="39">
        <f t="shared" si="0"/>
        <v>187879.19999999998</v>
      </c>
    </row>
    <row r="23" spans="1:10">
      <c r="A23" s="32" t="s">
        <v>71</v>
      </c>
      <c r="B23" s="32"/>
      <c r="C23" s="39">
        <v>154004.85</v>
      </c>
      <c r="D23" s="39">
        <v>376.58</v>
      </c>
      <c r="E23" s="32">
        <v>988.53</v>
      </c>
      <c r="F23" s="54">
        <v>24741.81</v>
      </c>
      <c r="G23" s="54">
        <v>3197.06</v>
      </c>
      <c r="H23" s="54">
        <v>40844.29</v>
      </c>
      <c r="I23" s="54">
        <v>9879.5400000000009</v>
      </c>
      <c r="J23" s="39">
        <f t="shared" si="0"/>
        <v>234032.66</v>
      </c>
    </row>
    <row r="24" spans="1:10">
      <c r="A24" s="32" t="s">
        <v>72</v>
      </c>
      <c r="B24" s="32"/>
      <c r="C24" s="39">
        <v>5968.98</v>
      </c>
      <c r="D24" s="39"/>
      <c r="E24" s="54"/>
      <c r="F24" s="32">
        <v>815.15</v>
      </c>
      <c r="G24" s="32">
        <v>238.75</v>
      </c>
      <c r="H24" s="54">
        <v>1345.65</v>
      </c>
      <c r="I24" s="32">
        <v>598.76</v>
      </c>
      <c r="J24" s="39">
        <f t="shared" si="0"/>
        <v>8967.2899999999991</v>
      </c>
    </row>
    <row r="25" spans="1:10">
      <c r="A25" s="32" t="s">
        <v>73</v>
      </c>
      <c r="B25" s="32"/>
      <c r="C25" s="39">
        <v>73239.990000000005</v>
      </c>
      <c r="D25" s="39"/>
      <c r="E25" s="54"/>
      <c r="F25" s="54">
        <v>10341.09</v>
      </c>
      <c r="G25" s="54">
        <v>2361.9899999999998</v>
      </c>
      <c r="H25" s="54">
        <v>17071.14</v>
      </c>
      <c r="I25" s="54">
        <v>8981.4</v>
      </c>
      <c r="J25" s="39">
        <f t="shared" si="0"/>
        <v>111995.61</v>
      </c>
    </row>
    <row r="26" spans="1:10">
      <c r="A26" s="32" t="s">
        <v>74</v>
      </c>
      <c r="B26" s="32"/>
      <c r="C26" s="39">
        <v>55295.16</v>
      </c>
      <c r="D26" s="39">
        <v>195.44</v>
      </c>
      <c r="E26" s="32">
        <v>513.05999999999995</v>
      </c>
      <c r="F26" s="54">
        <v>6684.9</v>
      </c>
      <c r="G26" s="54">
        <v>1709.36</v>
      </c>
      <c r="H26" s="54">
        <v>11035.59</v>
      </c>
      <c r="I26" s="54">
        <v>6286.98</v>
      </c>
      <c r="J26" s="39">
        <f t="shared" si="0"/>
        <v>81720.490000000005</v>
      </c>
    </row>
    <row r="27" spans="1:10">
      <c r="A27" s="32" t="s">
        <v>75</v>
      </c>
      <c r="B27" s="32"/>
      <c r="C27" s="39">
        <v>209815.31</v>
      </c>
      <c r="D27" s="39"/>
      <c r="E27" s="54"/>
      <c r="F27" s="54">
        <v>34028.879999999997</v>
      </c>
      <c r="G27" s="54">
        <v>5830.75</v>
      </c>
      <c r="H27" s="54">
        <v>56175.24</v>
      </c>
      <c r="I27" s="54">
        <v>19459.7</v>
      </c>
      <c r="J27" s="39">
        <f t="shared" si="0"/>
        <v>325309.88</v>
      </c>
    </row>
    <row r="28" spans="1:10">
      <c r="A28" s="32" t="s">
        <v>76</v>
      </c>
      <c r="B28" s="54">
        <v>21063.94</v>
      </c>
      <c r="C28" s="39"/>
      <c r="D28" s="39"/>
      <c r="E28" s="54">
        <v>4423.29</v>
      </c>
      <c r="F28" s="54"/>
      <c r="G28" s="32"/>
      <c r="H28" s="32"/>
      <c r="I28" s="32"/>
      <c r="J28" s="39">
        <f t="shared" si="0"/>
        <v>25487.23</v>
      </c>
    </row>
    <row r="29" spans="1:10">
      <c r="A29" s="32" t="s">
        <v>77</v>
      </c>
      <c r="B29" s="54">
        <v>92986.72</v>
      </c>
      <c r="C29" s="39"/>
      <c r="D29" s="39"/>
      <c r="E29" s="54">
        <v>19526.900000000001</v>
      </c>
      <c r="F29" s="32"/>
      <c r="G29" s="32"/>
      <c r="H29" s="32"/>
      <c r="I29" s="32"/>
      <c r="J29" s="39">
        <f t="shared" si="0"/>
        <v>112513.62</v>
      </c>
    </row>
    <row r="30" spans="1:10">
      <c r="A30" s="32" t="s">
        <v>78</v>
      </c>
      <c r="B30" s="32"/>
      <c r="C30" s="39">
        <v>15041.41</v>
      </c>
      <c r="D30" s="39"/>
      <c r="E30" s="54"/>
      <c r="F30" s="54">
        <v>2666.62</v>
      </c>
      <c r="G30" s="39">
        <v>601.6</v>
      </c>
      <c r="H30" s="54">
        <v>4402.05</v>
      </c>
      <c r="I30" s="54">
        <v>2694.42</v>
      </c>
      <c r="J30" s="39">
        <f t="shared" si="0"/>
        <v>25406.1</v>
      </c>
    </row>
    <row r="31" spans="1:10">
      <c r="A31" s="32" t="s">
        <v>79</v>
      </c>
      <c r="B31" s="54">
        <v>5394.41</v>
      </c>
      <c r="C31" s="39"/>
      <c r="D31" s="39"/>
      <c r="E31" s="54">
        <v>1132.8</v>
      </c>
      <c r="F31" s="32"/>
      <c r="G31" s="32"/>
      <c r="H31" s="32"/>
      <c r="I31" s="32"/>
      <c r="J31" s="39">
        <f t="shared" si="0"/>
        <v>6527.21</v>
      </c>
    </row>
    <row r="32" spans="1:10">
      <c r="A32" s="32" t="s">
        <v>80</v>
      </c>
      <c r="B32" s="32"/>
      <c r="C32" s="39">
        <v>79087.240000000005</v>
      </c>
      <c r="D32" s="39"/>
      <c r="E32" s="32"/>
      <c r="F32" s="54">
        <v>12048.07</v>
      </c>
      <c r="G32" s="54">
        <v>1734.82</v>
      </c>
      <c r="H32" s="54">
        <v>19889.150000000001</v>
      </c>
      <c r="I32" s="54">
        <v>5089.46</v>
      </c>
      <c r="J32" s="39">
        <f>SUM(B32:I32)</f>
        <v>117848.74</v>
      </c>
    </row>
    <row r="33" spans="1:10">
      <c r="A33" s="32" t="s">
        <v>81</v>
      </c>
      <c r="B33" s="32"/>
      <c r="C33" s="39">
        <v>76252.98</v>
      </c>
      <c r="D33" s="39"/>
      <c r="E33" s="54">
        <v>2243.17</v>
      </c>
      <c r="F33" s="54">
        <v>9205.9699999999993</v>
      </c>
      <c r="G33" s="54">
        <v>1051.06</v>
      </c>
      <c r="H33" s="54">
        <v>15197.43</v>
      </c>
      <c r="I33" s="54">
        <v>4490.7</v>
      </c>
      <c r="J33" s="39">
        <f t="shared" si="0"/>
        <v>108441.30999999998</v>
      </c>
    </row>
    <row r="34" spans="1:10">
      <c r="A34" s="32" t="s">
        <v>82</v>
      </c>
      <c r="B34" s="32"/>
      <c r="C34" s="39">
        <v>15481.4</v>
      </c>
      <c r="D34" s="39"/>
      <c r="E34" s="54"/>
      <c r="F34" s="54">
        <v>2277.1999999999998</v>
      </c>
      <c r="G34" s="32">
        <v>520.15</v>
      </c>
      <c r="H34" s="54">
        <v>3759.24</v>
      </c>
      <c r="I34" s="54">
        <v>1197.52</v>
      </c>
      <c r="J34" s="39">
        <f>SUM(B34:I34)</f>
        <v>23235.51</v>
      </c>
    </row>
    <row r="35" spans="1:10">
      <c r="A35" s="32" t="s">
        <v>83</v>
      </c>
      <c r="B35" s="32"/>
      <c r="C35" s="39">
        <v>20677.66</v>
      </c>
      <c r="D35" s="39"/>
      <c r="E35" s="54"/>
      <c r="F35" s="54">
        <v>2315.21</v>
      </c>
      <c r="G35" s="32">
        <v>619.99</v>
      </c>
      <c r="H35" s="54">
        <v>3822.01</v>
      </c>
      <c r="I35" s="32">
        <v>898.14</v>
      </c>
      <c r="J35" s="39">
        <f>SUM(B35:I35)</f>
        <v>28333.010000000002</v>
      </c>
    </row>
    <row r="36" spans="1:10">
      <c r="A36" s="32" t="s">
        <v>84</v>
      </c>
      <c r="B36" s="32"/>
      <c r="C36" s="39">
        <v>84001.97</v>
      </c>
      <c r="D36" s="39"/>
      <c r="E36" s="54"/>
      <c r="F36" s="54">
        <v>12572.04</v>
      </c>
      <c r="G36" s="54">
        <v>3104.28</v>
      </c>
      <c r="H36" s="54">
        <v>20753.939999999999</v>
      </c>
      <c r="I36" s="54">
        <v>10178.92</v>
      </c>
      <c r="J36" s="39">
        <f t="shared" si="0"/>
        <v>130611.15000000001</v>
      </c>
    </row>
    <row r="37" spans="1:10">
      <c r="A37" s="32" t="s">
        <v>85</v>
      </c>
      <c r="B37" s="32"/>
      <c r="C37" s="39">
        <v>25677.1</v>
      </c>
      <c r="D37" s="39"/>
      <c r="E37" s="32"/>
      <c r="F37" s="54">
        <v>3276.04</v>
      </c>
      <c r="G37" s="32">
        <v>328.5</v>
      </c>
      <c r="H37" s="54">
        <v>5408.17</v>
      </c>
      <c r="I37" s="54">
        <v>1197.52</v>
      </c>
      <c r="J37" s="39">
        <f t="shared" si="0"/>
        <v>35887.329999999994</v>
      </c>
    </row>
    <row r="38" spans="1:10">
      <c r="A38" s="32" t="s">
        <v>86</v>
      </c>
      <c r="B38" s="32"/>
      <c r="C38" s="39">
        <v>73429.259999999995</v>
      </c>
      <c r="D38" s="39"/>
      <c r="E38" s="32"/>
      <c r="F38" s="54">
        <v>11922.16</v>
      </c>
      <c r="G38" s="54">
        <v>2324.17</v>
      </c>
      <c r="H38" s="54">
        <v>19681.21</v>
      </c>
      <c r="I38" s="54">
        <v>4790.08</v>
      </c>
      <c r="J38" s="39">
        <f t="shared" si="0"/>
        <v>112146.87999999999</v>
      </c>
    </row>
    <row r="39" spans="1:10">
      <c r="A39" s="32" t="s">
        <v>87</v>
      </c>
      <c r="B39" s="32"/>
      <c r="C39" s="39">
        <v>235873.79</v>
      </c>
      <c r="D39" s="39"/>
      <c r="E39" s="54">
        <v>3771.41</v>
      </c>
      <c r="F39" s="54">
        <v>35827</v>
      </c>
      <c r="G39" s="54">
        <v>6704.39</v>
      </c>
      <c r="H39" s="54">
        <v>59143.8</v>
      </c>
      <c r="I39" s="54">
        <v>14969</v>
      </c>
      <c r="J39" s="39">
        <f t="shared" si="0"/>
        <v>356289.39</v>
      </c>
    </row>
    <row r="40" spans="1:10">
      <c r="A40" s="32" t="s">
        <v>88</v>
      </c>
      <c r="B40" s="32"/>
      <c r="C40" s="39">
        <v>7323.03</v>
      </c>
      <c r="D40" s="39"/>
      <c r="E40" s="32"/>
      <c r="F40" s="54">
        <v>1198.47</v>
      </c>
      <c r="G40" s="32">
        <v>292.91000000000003</v>
      </c>
      <c r="H40" s="54">
        <v>1978.45</v>
      </c>
      <c r="I40" s="32">
        <v>598.76</v>
      </c>
      <c r="J40" s="39">
        <f t="shared" si="0"/>
        <v>11391.62</v>
      </c>
    </row>
    <row r="41" spans="1:10">
      <c r="A41" s="32" t="s">
        <v>89</v>
      </c>
      <c r="B41" s="32"/>
      <c r="C41" s="39">
        <v>9098.2199999999993</v>
      </c>
      <c r="D41" s="39"/>
      <c r="E41" s="32"/>
      <c r="F41" s="54">
        <v>1315.08</v>
      </c>
      <c r="G41" s="32">
        <v>347.31</v>
      </c>
      <c r="H41" s="54">
        <v>2170.96</v>
      </c>
      <c r="I41" s="32">
        <v>598.76</v>
      </c>
      <c r="J41" s="39">
        <f t="shared" si="0"/>
        <v>13530.33</v>
      </c>
    </row>
    <row r="42" spans="1:10">
      <c r="A42" s="32" t="s">
        <v>90</v>
      </c>
      <c r="B42" s="32"/>
      <c r="C42" s="39">
        <v>145654.60999999999</v>
      </c>
      <c r="D42" s="39"/>
      <c r="E42" s="32"/>
      <c r="F42" s="54">
        <v>24003.72</v>
      </c>
      <c r="G42" s="54">
        <v>2211.23</v>
      </c>
      <c r="H42" s="54">
        <v>39625.85</v>
      </c>
      <c r="I42" s="54">
        <v>6586.36</v>
      </c>
      <c r="J42" s="39">
        <f t="shared" si="0"/>
        <v>218081.77</v>
      </c>
    </row>
    <row r="43" spans="1:10">
      <c r="A43" s="32" t="s">
        <v>91</v>
      </c>
      <c r="B43" s="32"/>
      <c r="C43" s="39">
        <v>14004.68</v>
      </c>
      <c r="D43" s="39"/>
      <c r="E43" s="54">
        <v>2940.96</v>
      </c>
      <c r="F43" s="54"/>
      <c r="G43" s="32"/>
      <c r="H43" s="32"/>
      <c r="I43" s="32"/>
      <c r="J43" s="39">
        <f t="shared" si="0"/>
        <v>16945.64</v>
      </c>
    </row>
    <row r="44" spans="1:10">
      <c r="A44" s="32" t="s">
        <v>92</v>
      </c>
      <c r="B44" s="32"/>
      <c r="C44" s="39">
        <v>21987.86</v>
      </c>
      <c r="D44" s="39"/>
      <c r="E44" s="32"/>
      <c r="F44" s="54">
        <v>3974.14</v>
      </c>
      <c r="G44" s="32">
        <v>879.51</v>
      </c>
      <c r="H44" s="54">
        <v>6560.6</v>
      </c>
      <c r="I44" s="54">
        <v>1197.52</v>
      </c>
      <c r="J44" s="39">
        <f t="shared" si="0"/>
        <v>34599.629999999997</v>
      </c>
    </row>
    <row r="45" spans="1:10">
      <c r="A45" s="32" t="s">
        <v>93</v>
      </c>
      <c r="B45" s="32"/>
      <c r="C45" s="39">
        <v>5787.2</v>
      </c>
      <c r="D45" s="39"/>
      <c r="E45" s="40"/>
      <c r="F45" s="32">
        <v>487.41</v>
      </c>
      <c r="G45" s="32"/>
      <c r="H45" s="32">
        <v>804.63</v>
      </c>
      <c r="I45" s="40">
        <v>299.38</v>
      </c>
      <c r="J45" s="39">
        <f>SUM(B45:I45)</f>
        <v>7378.62</v>
      </c>
    </row>
    <row r="46" spans="1:10">
      <c r="A46" s="32" t="s">
        <v>94</v>
      </c>
      <c r="B46" s="39">
        <v>2658.3</v>
      </c>
      <c r="C46" s="39"/>
      <c r="D46" s="39"/>
      <c r="E46" s="32">
        <v>558.26</v>
      </c>
      <c r="F46" s="32"/>
      <c r="G46" s="32"/>
      <c r="H46" s="32"/>
      <c r="I46" s="32"/>
      <c r="J46" s="39">
        <f t="shared" si="0"/>
        <v>3216.5600000000004</v>
      </c>
    </row>
    <row r="47" spans="1:10">
      <c r="A47" s="32" t="s">
        <v>95</v>
      </c>
      <c r="B47" s="32"/>
      <c r="C47" s="39">
        <v>17176.3</v>
      </c>
      <c r="D47" s="39"/>
      <c r="E47" s="32"/>
      <c r="F47" s="54">
        <v>2249.77</v>
      </c>
      <c r="G47" s="32">
        <v>221.23</v>
      </c>
      <c r="H47" s="54">
        <v>3713.97</v>
      </c>
      <c r="I47" s="54">
        <v>1197.52</v>
      </c>
      <c r="J47" s="39">
        <f t="shared" si="0"/>
        <v>24558.79</v>
      </c>
    </row>
    <row r="48" spans="1:10">
      <c r="A48" s="32" t="s">
        <v>96</v>
      </c>
      <c r="B48" s="32"/>
      <c r="C48" s="39">
        <v>18536.95</v>
      </c>
      <c r="D48" s="39"/>
      <c r="E48" s="32"/>
      <c r="F48" s="54">
        <v>2732.83</v>
      </c>
      <c r="G48" s="32">
        <v>767.79</v>
      </c>
      <c r="H48" s="54">
        <v>4511.3500000000004</v>
      </c>
      <c r="I48" s="54">
        <v>2095.66</v>
      </c>
      <c r="J48" s="39">
        <f t="shared" si="0"/>
        <v>28644.579999999998</v>
      </c>
    </row>
    <row r="49" spans="1:10">
      <c r="A49" s="32" t="s">
        <v>97</v>
      </c>
      <c r="B49" s="32"/>
      <c r="C49" s="39">
        <v>17135.919999999998</v>
      </c>
      <c r="D49" s="39"/>
      <c r="E49" s="32"/>
      <c r="F49" s="54">
        <v>2511.85</v>
      </c>
      <c r="G49" s="32">
        <v>685.43</v>
      </c>
      <c r="H49" s="54">
        <v>4146.6000000000004</v>
      </c>
      <c r="I49" s="32">
        <v>898.14</v>
      </c>
      <c r="J49" s="39">
        <f>SUM(B49:I49)</f>
        <v>25377.939999999995</v>
      </c>
    </row>
    <row r="50" spans="1:10">
      <c r="A50" s="32" t="s">
        <v>98</v>
      </c>
      <c r="B50" s="32"/>
      <c r="C50" s="39">
        <v>15686.06</v>
      </c>
      <c r="D50" s="39"/>
      <c r="E50" s="32"/>
      <c r="F50" s="54">
        <v>2543.9299999999998</v>
      </c>
      <c r="G50" s="32">
        <v>352.48</v>
      </c>
      <c r="H50" s="54">
        <v>4199.5200000000004</v>
      </c>
      <c r="I50" s="54">
        <v>1197.52</v>
      </c>
      <c r="J50" s="39">
        <f t="shared" si="0"/>
        <v>23979.51</v>
      </c>
    </row>
    <row r="51" spans="1:10">
      <c r="A51" s="32" t="s">
        <v>99</v>
      </c>
      <c r="B51" s="39">
        <v>6773.46</v>
      </c>
      <c r="C51" s="39"/>
      <c r="D51" s="39"/>
      <c r="E51" s="54">
        <v>1422.42</v>
      </c>
      <c r="F51" s="32"/>
      <c r="G51" s="32"/>
      <c r="H51" s="32"/>
      <c r="I51" s="32"/>
      <c r="J51" s="39">
        <f t="shared" si="0"/>
        <v>8195.880000000001</v>
      </c>
    </row>
    <row r="52" spans="1:10">
      <c r="A52" s="32" t="s">
        <v>100</v>
      </c>
      <c r="B52" s="32"/>
      <c r="C52" s="39">
        <v>5909.1</v>
      </c>
      <c r="D52" s="39"/>
      <c r="E52" s="32"/>
      <c r="F52" s="32">
        <v>633.63</v>
      </c>
      <c r="G52" s="32"/>
      <c r="H52" s="54">
        <v>1046.02</v>
      </c>
      <c r="I52" s="32">
        <v>299.38</v>
      </c>
      <c r="J52" s="39">
        <f t="shared" si="0"/>
        <v>7888.13</v>
      </c>
    </row>
    <row r="53" spans="1:10">
      <c r="A53" s="32" t="s">
        <v>101</v>
      </c>
      <c r="B53" s="54"/>
      <c r="C53" s="39">
        <v>9311.66</v>
      </c>
      <c r="D53" s="39"/>
      <c r="E53" s="54"/>
      <c r="F53" s="54">
        <v>1578.49</v>
      </c>
      <c r="G53" s="32">
        <v>191.11</v>
      </c>
      <c r="H53" s="54">
        <v>2605.79</v>
      </c>
      <c r="I53" s="32">
        <v>299.38</v>
      </c>
      <c r="J53" s="39">
        <f t="shared" si="0"/>
        <v>13986.429999999998</v>
      </c>
    </row>
    <row r="54" spans="1:10">
      <c r="A54" s="32" t="s">
        <v>102</v>
      </c>
      <c r="B54" s="32"/>
      <c r="C54" s="39">
        <v>26402.94</v>
      </c>
      <c r="D54" s="39"/>
      <c r="E54" s="32"/>
      <c r="F54" s="54">
        <v>3823.31</v>
      </c>
      <c r="G54" s="32">
        <v>567.64</v>
      </c>
      <c r="H54" s="54">
        <v>6311.59</v>
      </c>
      <c r="I54" s="54">
        <v>1796.28</v>
      </c>
      <c r="J54" s="39">
        <f t="shared" si="0"/>
        <v>38901.759999999995</v>
      </c>
    </row>
    <row r="55" spans="1:10">
      <c r="A55" s="32" t="s">
        <v>103</v>
      </c>
      <c r="B55" s="54">
        <v>17719.62</v>
      </c>
      <c r="C55" s="39"/>
      <c r="D55" s="39"/>
      <c r="E55" s="54">
        <v>3721.13</v>
      </c>
      <c r="F55" s="32"/>
      <c r="G55" s="32"/>
      <c r="H55" s="32"/>
      <c r="I55" s="32"/>
      <c r="J55" s="39">
        <f t="shared" si="0"/>
        <v>21440.75</v>
      </c>
    </row>
    <row r="56" spans="1:10">
      <c r="A56" s="32" t="s">
        <v>104</v>
      </c>
      <c r="B56" s="54">
        <v>16432.189999999999</v>
      </c>
      <c r="C56" s="39"/>
      <c r="D56" s="39"/>
      <c r="E56" s="54">
        <v>3450.74</v>
      </c>
      <c r="F56" s="32"/>
      <c r="G56" s="32"/>
      <c r="H56" s="32"/>
      <c r="I56" s="32"/>
      <c r="J56" s="39">
        <f t="shared" si="0"/>
        <v>19882.93</v>
      </c>
    </row>
    <row r="57" spans="1:10">
      <c r="A57" s="32" t="s">
        <v>105</v>
      </c>
      <c r="B57" s="54"/>
      <c r="C57" s="54">
        <v>16162.5</v>
      </c>
      <c r="D57" s="39">
        <v>1293</v>
      </c>
      <c r="E57" s="54">
        <v>3394.29</v>
      </c>
      <c r="F57" s="32"/>
      <c r="G57" s="32"/>
      <c r="H57" s="32"/>
      <c r="I57" s="32"/>
      <c r="J57" s="39">
        <f t="shared" si="0"/>
        <v>20849.79</v>
      </c>
    </row>
    <row r="58" spans="1:10">
      <c r="A58" s="32" t="s">
        <v>106</v>
      </c>
      <c r="B58" s="32"/>
      <c r="C58" s="39">
        <v>135349.34</v>
      </c>
      <c r="D58" s="39">
        <v>381.51</v>
      </c>
      <c r="E58" s="54">
        <v>8915.1299999999992</v>
      </c>
      <c r="F58" s="54">
        <v>13781.51</v>
      </c>
      <c r="G58" s="54">
        <v>2042.09</v>
      </c>
      <c r="H58" s="54">
        <v>22750.76</v>
      </c>
      <c r="I58" s="54">
        <v>6286.98</v>
      </c>
      <c r="J58" s="39">
        <f t="shared" si="0"/>
        <v>189507.32000000004</v>
      </c>
    </row>
    <row r="59" spans="1:10">
      <c r="A59" s="32" t="s">
        <v>107</v>
      </c>
      <c r="B59" s="54">
        <v>1155.93</v>
      </c>
      <c r="C59" s="39"/>
      <c r="D59" s="39"/>
      <c r="E59" s="39">
        <v>242.73</v>
      </c>
      <c r="F59" s="32"/>
      <c r="G59" s="32"/>
      <c r="H59" s="32"/>
      <c r="I59" s="32"/>
      <c r="J59" s="39">
        <f t="shared" si="0"/>
        <v>1398.66</v>
      </c>
    </row>
    <row r="60" spans="1:10">
      <c r="A60" s="32" t="s">
        <v>108</v>
      </c>
      <c r="B60" s="32"/>
      <c r="C60" s="39">
        <v>1782.74</v>
      </c>
      <c r="D60" s="39"/>
      <c r="E60" s="32"/>
      <c r="F60" s="32">
        <v>356.37</v>
      </c>
      <c r="G60" s="39">
        <v>71.3</v>
      </c>
      <c r="H60" s="39">
        <v>588.29999999999995</v>
      </c>
      <c r="I60" s="32">
        <v>299.38</v>
      </c>
      <c r="J60" s="39">
        <f t="shared" si="0"/>
        <v>3098.09</v>
      </c>
    </row>
    <row r="61" spans="1:10">
      <c r="A61" s="32" t="s">
        <v>109</v>
      </c>
      <c r="B61" s="54">
        <v>3535.53</v>
      </c>
      <c r="C61" s="39"/>
      <c r="D61" s="39"/>
      <c r="E61" s="32">
        <v>742.47</v>
      </c>
      <c r="F61" s="32"/>
      <c r="G61" s="32"/>
      <c r="H61" s="32"/>
      <c r="I61" s="32"/>
      <c r="J61" s="39">
        <f t="shared" si="0"/>
        <v>4278</v>
      </c>
    </row>
    <row r="62" spans="1:10" ht="11.25">
      <c r="A62" s="33" t="s">
        <v>110</v>
      </c>
      <c r="B62" s="32"/>
      <c r="C62" s="39">
        <v>48689.72</v>
      </c>
      <c r="D62" s="39"/>
      <c r="E62" s="32">
        <v>711.22</v>
      </c>
      <c r="F62" s="54">
        <v>6499.47</v>
      </c>
      <c r="G62" s="54">
        <v>1213.04</v>
      </c>
      <c r="H62" s="54">
        <v>10729.48</v>
      </c>
      <c r="I62" s="54">
        <v>2694.42</v>
      </c>
      <c r="J62" s="39">
        <f t="shared" si="0"/>
        <v>70537.350000000006</v>
      </c>
    </row>
    <row r="63" spans="1:10">
      <c r="A63" s="32" t="s">
        <v>111</v>
      </c>
      <c r="B63" s="32"/>
      <c r="C63" s="39">
        <v>1335.92</v>
      </c>
      <c r="D63" s="39"/>
      <c r="E63" s="32"/>
      <c r="F63" s="54"/>
      <c r="G63" s="54"/>
      <c r="H63" s="54"/>
      <c r="I63" s="54"/>
      <c r="J63" s="39">
        <f t="shared" si="0"/>
        <v>1335.92</v>
      </c>
    </row>
    <row r="64" spans="1:10">
      <c r="A64" s="32" t="s">
        <v>112</v>
      </c>
      <c r="B64" s="54">
        <v>1655.67</v>
      </c>
      <c r="C64" s="39"/>
      <c r="D64" s="39"/>
      <c r="E64" s="32"/>
      <c r="F64" s="54"/>
      <c r="G64" s="54">
        <v>54.18</v>
      </c>
      <c r="H64" s="54"/>
      <c r="I64" s="54"/>
      <c r="J64" s="39">
        <f t="shared" si="0"/>
        <v>1709.8500000000001</v>
      </c>
    </row>
    <row r="65" spans="1:10">
      <c r="A65" s="52" t="s">
        <v>55</v>
      </c>
      <c r="B65" s="39">
        <f>SUM(B8:B64)</f>
        <v>200019.88</v>
      </c>
      <c r="C65" s="39">
        <f t="shared" ref="C65:I65" si="1">SUM(C8:C64)</f>
        <v>3283080.9000000004</v>
      </c>
      <c r="D65" s="39">
        <f t="shared" si="1"/>
        <v>5452.85</v>
      </c>
      <c r="E65" s="60">
        <f t="shared" si="1"/>
        <v>87179.88</v>
      </c>
      <c r="F65" s="60">
        <f t="shared" si="1"/>
        <v>471550.02999999991</v>
      </c>
      <c r="G65" s="60">
        <f t="shared" si="1"/>
        <v>78176.279999999941</v>
      </c>
      <c r="H65" s="39">
        <f t="shared" si="1"/>
        <v>778442.29999999993</v>
      </c>
      <c r="I65" s="39">
        <f t="shared" si="1"/>
        <v>227229.42</v>
      </c>
      <c r="J65" s="60">
        <f>SUM(J8:J64)</f>
        <v>5131131.5399999982</v>
      </c>
    </row>
    <row r="66" spans="1:10">
      <c r="A66" s="31" t="s">
        <v>113</v>
      </c>
      <c r="C66" s="42">
        <f>3483100.78-(B65+C65)</f>
        <v>0</v>
      </c>
      <c r="D66" s="42">
        <f>4007.39-D65</f>
        <v>-1445.4600000000005</v>
      </c>
      <c r="E66" s="38">
        <f>86740.88-E65</f>
        <v>-439</v>
      </c>
      <c r="F66" s="38">
        <f>471550.03-F65</f>
        <v>0</v>
      </c>
      <c r="G66" s="38">
        <f>78176.28-G65</f>
        <v>0</v>
      </c>
      <c r="H66" s="38">
        <f>778442.3-H65</f>
        <v>0</v>
      </c>
      <c r="I66" s="38">
        <f>227229.42-I65</f>
        <v>0</v>
      </c>
    </row>
    <row r="71" spans="1:10">
      <c r="A71" s="36" t="s">
        <v>114</v>
      </c>
      <c r="B71" s="36" t="s">
        <v>47</v>
      </c>
      <c r="C71" s="51" t="s">
        <v>48</v>
      </c>
      <c r="D71" s="51" t="s">
        <v>49</v>
      </c>
      <c r="E71" s="36" t="s">
        <v>50</v>
      </c>
      <c r="F71" s="36" t="s">
        <v>51</v>
      </c>
      <c r="G71" s="36" t="s">
        <v>52</v>
      </c>
      <c r="H71" s="36" t="s">
        <v>53</v>
      </c>
      <c r="I71" s="36" t="s">
        <v>54</v>
      </c>
      <c r="J71" s="52" t="s">
        <v>115</v>
      </c>
    </row>
    <row r="72" spans="1:10">
      <c r="A72" s="52" t="s">
        <v>116</v>
      </c>
      <c r="B72" s="32"/>
      <c r="C72" s="39">
        <f>214871</f>
        <v>214871</v>
      </c>
      <c r="D72" s="39"/>
      <c r="E72" s="32"/>
      <c r="F72" s="54">
        <v>8039.02</v>
      </c>
      <c r="G72" s="54">
        <v>5917.61</v>
      </c>
      <c r="H72" s="54">
        <v>13271.17</v>
      </c>
      <c r="I72" s="32"/>
      <c r="J72" s="39">
        <f>SUM(B72:I72)</f>
        <v>242098.8</v>
      </c>
    </row>
    <row r="73" spans="1:10">
      <c r="A73" s="36" t="s">
        <v>117</v>
      </c>
      <c r="B73" s="32"/>
      <c r="C73" s="39">
        <f>1651696.41</f>
        <v>1651696.41</v>
      </c>
      <c r="D73" s="39"/>
      <c r="E73" s="32"/>
      <c r="F73" s="54">
        <v>131305.35</v>
      </c>
      <c r="G73" s="54">
        <v>47461.58</v>
      </c>
      <c r="H73" s="54">
        <f>216763.39</f>
        <v>216763.39</v>
      </c>
      <c r="I73" s="32"/>
      <c r="J73" s="39">
        <f>SUM(B73:I73)</f>
        <v>2047226.73</v>
      </c>
    </row>
    <row r="74" spans="1:10">
      <c r="A74" s="59" t="s">
        <v>118</v>
      </c>
      <c r="B74" s="60">
        <f t="shared" ref="B74:G74" si="2">SUM(B72:B73)</f>
        <v>0</v>
      </c>
      <c r="C74" s="39">
        <f t="shared" si="2"/>
        <v>1866567.41</v>
      </c>
      <c r="D74" s="60">
        <f t="shared" si="2"/>
        <v>0</v>
      </c>
      <c r="E74" s="60">
        <f t="shared" si="2"/>
        <v>0</v>
      </c>
      <c r="F74" s="60">
        <f t="shared" si="2"/>
        <v>139344.37</v>
      </c>
      <c r="G74" s="60">
        <f t="shared" si="2"/>
        <v>53379.19</v>
      </c>
      <c r="H74" s="39">
        <f>SUM(H72:H73)</f>
        <v>230034.56000000003</v>
      </c>
      <c r="I74" s="32"/>
      <c r="J74" s="39">
        <f>SUM(B74:I74)</f>
        <v>2289325.5299999998</v>
      </c>
    </row>
    <row r="77" spans="1:10">
      <c r="A77" s="61" t="s">
        <v>119</v>
      </c>
      <c r="B77" s="35"/>
      <c r="C77" s="62"/>
      <c r="D77" s="62"/>
      <c r="E77" s="35"/>
      <c r="F77" s="35"/>
      <c r="G77" s="35"/>
      <c r="H77" s="35"/>
      <c r="I77" s="35"/>
      <c r="J77" s="63">
        <f>J65+J74</f>
        <v>7420457.0699999984</v>
      </c>
    </row>
    <row r="92" spans="5:10">
      <c r="J92" s="71" t="s">
        <v>140</v>
      </c>
    </row>
    <row r="96" spans="5:10">
      <c r="E96" s="50"/>
    </row>
    <row r="97" spans="1:10">
      <c r="C97" s="41" t="s">
        <v>141</v>
      </c>
    </row>
    <row r="99" spans="1:10">
      <c r="B99" s="71" t="s">
        <v>155</v>
      </c>
      <c r="C99" s="66">
        <v>4.5600000000000002E-2</v>
      </c>
      <c r="D99" s="42" t="s">
        <v>154</v>
      </c>
      <c r="F99" s="79"/>
      <c r="G99" s="81" t="s">
        <v>156</v>
      </c>
      <c r="H99" s="80" t="s">
        <v>121</v>
      </c>
    </row>
    <row r="100" spans="1:10">
      <c r="A100" s="36" t="s">
        <v>46</v>
      </c>
      <c r="B100" s="36" t="s">
        <v>47</v>
      </c>
      <c r="C100" s="51" t="s">
        <v>48</v>
      </c>
      <c r="D100" s="51" t="s">
        <v>49</v>
      </c>
      <c r="E100" s="36" t="s">
        <v>50</v>
      </c>
      <c r="F100" s="36" t="s">
        <v>51</v>
      </c>
      <c r="G100" s="36" t="s">
        <v>52</v>
      </c>
      <c r="H100" s="36" t="s">
        <v>53</v>
      </c>
      <c r="I100" s="36" t="s">
        <v>54</v>
      </c>
      <c r="J100" s="36" t="s">
        <v>122</v>
      </c>
    </row>
    <row r="101" spans="1:10">
      <c r="A101" s="32" t="s">
        <v>56</v>
      </c>
      <c r="B101" s="64">
        <v>10</v>
      </c>
      <c r="C101" s="51">
        <f>12+1+0.3333+0.27+((0.086+0.0456)*13)</f>
        <v>15.3141</v>
      </c>
      <c r="D101" s="51">
        <f t="shared" ref="D101:E101" si="3">12+1+0.3333+0.27+((0.086+0.0456)*13)</f>
        <v>15.3141</v>
      </c>
      <c r="E101" s="51">
        <f t="shared" si="3"/>
        <v>15.3141</v>
      </c>
      <c r="F101" s="39">
        <f>F8/0.1999</f>
        <v>45241.070535267638</v>
      </c>
      <c r="G101" s="39">
        <f t="shared" ref="G101:G156" si="4">G8/0.04</f>
        <v>14371.5</v>
      </c>
      <c r="H101" s="39">
        <f t="shared" ref="H101:H157" si="5">H8/0.33</f>
        <v>45241</v>
      </c>
      <c r="I101" s="51">
        <f>13.2</f>
        <v>13.2</v>
      </c>
      <c r="J101" s="39">
        <f>1354.64</f>
        <v>1354.64</v>
      </c>
    </row>
    <row r="102" spans="1:10">
      <c r="A102" s="32" t="s">
        <v>57</v>
      </c>
      <c r="B102" s="64">
        <v>10</v>
      </c>
      <c r="C102" s="51">
        <f t="shared" ref="C102:E111" si="6">12+1+0.3333+0.27+((0.086+0.0456)*13)</f>
        <v>15.3141</v>
      </c>
      <c r="D102" s="51">
        <f t="shared" si="6"/>
        <v>15.3141</v>
      </c>
      <c r="E102" s="51">
        <f t="shared" si="6"/>
        <v>15.3141</v>
      </c>
      <c r="F102" s="39">
        <f t="shared" ref="F102:F157" si="7">F9/0.1999</f>
        <v>0</v>
      </c>
      <c r="G102" s="39">
        <f t="shared" si="4"/>
        <v>0</v>
      </c>
      <c r="H102" s="39">
        <f t="shared" si="5"/>
        <v>0</v>
      </c>
      <c r="I102" s="51">
        <f t="shared" ref="I102:I155" si="8">13.2</f>
        <v>13.2</v>
      </c>
      <c r="J102" s="39"/>
    </row>
    <row r="103" spans="1:10">
      <c r="A103" s="32" t="s">
        <v>58</v>
      </c>
      <c r="B103" s="64">
        <v>10</v>
      </c>
      <c r="C103" s="51">
        <f t="shared" si="6"/>
        <v>15.3141</v>
      </c>
      <c r="D103" s="51">
        <f t="shared" si="6"/>
        <v>15.3141</v>
      </c>
      <c r="E103" s="51">
        <f t="shared" si="6"/>
        <v>15.3141</v>
      </c>
      <c r="F103" s="39">
        <f t="shared" si="7"/>
        <v>19603.151575787895</v>
      </c>
      <c r="G103" s="39">
        <f t="shared" si="4"/>
        <v>15141.25</v>
      </c>
      <c r="H103" s="39">
        <f t="shared" si="5"/>
        <v>19602.969696969696</v>
      </c>
      <c r="I103" s="51">
        <f t="shared" si="8"/>
        <v>13.2</v>
      </c>
      <c r="J103" s="39">
        <v>752.58</v>
      </c>
    </row>
    <row r="104" spans="1:10">
      <c r="A104" s="32" t="s">
        <v>59</v>
      </c>
      <c r="B104" s="64">
        <v>10</v>
      </c>
      <c r="C104" s="51">
        <f t="shared" si="6"/>
        <v>15.3141</v>
      </c>
      <c r="D104" s="51">
        <f t="shared" si="6"/>
        <v>15.3141</v>
      </c>
      <c r="E104" s="51">
        <f t="shared" si="6"/>
        <v>15.3141</v>
      </c>
      <c r="F104" s="39">
        <f t="shared" si="7"/>
        <v>62347.723861930965</v>
      </c>
      <c r="G104" s="39">
        <f t="shared" si="4"/>
        <v>57908</v>
      </c>
      <c r="H104" s="39">
        <f t="shared" si="5"/>
        <v>62347.515151515152</v>
      </c>
      <c r="I104" s="51">
        <f t="shared" si="8"/>
        <v>13.2</v>
      </c>
      <c r="J104" s="39">
        <v>2107.23</v>
      </c>
    </row>
    <row r="105" spans="1:10">
      <c r="A105" s="32" t="s">
        <v>60</v>
      </c>
      <c r="B105" s="64">
        <v>10</v>
      </c>
      <c r="C105" s="51">
        <f t="shared" si="6"/>
        <v>15.3141</v>
      </c>
      <c r="D105" s="51">
        <f t="shared" si="6"/>
        <v>15.3141</v>
      </c>
      <c r="E105" s="51">
        <f t="shared" si="6"/>
        <v>15.3141</v>
      </c>
      <c r="F105" s="39">
        <f t="shared" si="7"/>
        <v>0</v>
      </c>
      <c r="G105" s="39">
        <f t="shared" si="4"/>
        <v>0</v>
      </c>
      <c r="H105" s="39">
        <f t="shared" si="5"/>
        <v>0</v>
      </c>
      <c r="I105" s="51">
        <f t="shared" si="8"/>
        <v>13.2</v>
      </c>
      <c r="J105" s="39"/>
    </row>
    <row r="106" spans="1:10">
      <c r="A106" s="32" t="s">
        <v>61</v>
      </c>
      <c r="B106" s="64">
        <v>10</v>
      </c>
      <c r="C106" s="51">
        <f t="shared" si="6"/>
        <v>15.3141</v>
      </c>
      <c r="D106" s="51">
        <f t="shared" si="6"/>
        <v>15.3141</v>
      </c>
      <c r="E106" s="51">
        <f t="shared" si="6"/>
        <v>15.3141</v>
      </c>
      <c r="F106" s="39">
        <f t="shared" si="7"/>
        <v>71392.396198099057</v>
      </c>
      <c r="G106" s="39">
        <f t="shared" si="4"/>
        <v>85217.75</v>
      </c>
      <c r="H106" s="39">
        <f t="shared" si="5"/>
        <v>71392</v>
      </c>
      <c r="I106" s="51">
        <f t="shared" si="8"/>
        <v>13.2</v>
      </c>
      <c r="J106" s="39">
        <v>7977.35</v>
      </c>
    </row>
    <row r="107" spans="1:10">
      <c r="A107" s="32" t="s">
        <v>62</v>
      </c>
      <c r="B107" s="64">
        <v>10</v>
      </c>
      <c r="C107" s="51">
        <f t="shared" si="6"/>
        <v>15.3141</v>
      </c>
      <c r="D107" s="51">
        <f t="shared" si="6"/>
        <v>15.3141</v>
      </c>
      <c r="E107" s="51">
        <f t="shared" si="6"/>
        <v>15.3141</v>
      </c>
      <c r="F107" s="39">
        <f t="shared" si="7"/>
        <v>103839.01950975487</v>
      </c>
      <c r="G107" s="39">
        <f t="shared" si="4"/>
        <v>70843.25</v>
      </c>
      <c r="H107" s="39">
        <f t="shared" si="5"/>
        <v>103838.45454545454</v>
      </c>
      <c r="I107" s="51">
        <f t="shared" si="8"/>
        <v>13.2</v>
      </c>
      <c r="J107" s="39">
        <v>7074.28</v>
      </c>
    </row>
    <row r="108" spans="1:10">
      <c r="A108" s="32" t="s">
        <v>63</v>
      </c>
      <c r="B108" s="64">
        <v>10</v>
      </c>
      <c r="C108" s="51">
        <f t="shared" si="6"/>
        <v>15.3141</v>
      </c>
      <c r="D108" s="51">
        <f t="shared" si="6"/>
        <v>15.3141</v>
      </c>
      <c r="E108" s="51">
        <f t="shared" si="6"/>
        <v>15.3141</v>
      </c>
      <c r="F108" s="39">
        <f t="shared" si="7"/>
        <v>7297.3486743371686</v>
      </c>
      <c r="G108" s="39">
        <f t="shared" si="4"/>
        <v>5278.5</v>
      </c>
      <c r="H108" s="39">
        <f t="shared" si="5"/>
        <v>7297.272727272727</v>
      </c>
      <c r="I108" s="51">
        <f t="shared" si="8"/>
        <v>13.2</v>
      </c>
      <c r="J108" s="39">
        <v>1655.68</v>
      </c>
    </row>
    <row r="109" spans="1:10">
      <c r="A109" s="32" t="s">
        <v>64</v>
      </c>
      <c r="B109" s="64">
        <v>10</v>
      </c>
      <c r="C109" s="51">
        <f t="shared" si="6"/>
        <v>15.3141</v>
      </c>
      <c r="D109" s="51">
        <f t="shared" si="6"/>
        <v>15.3141</v>
      </c>
      <c r="E109" s="51">
        <f t="shared" si="6"/>
        <v>15.3141</v>
      </c>
      <c r="F109" s="39">
        <f>F16/0.1999</f>
        <v>3230.7153576788396</v>
      </c>
      <c r="G109" s="39">
        <f t="shared" si="4"/>
        <v>0</v>
      </c>
      <c r="H109" s="39">
        <f t="shared" si="5"/>
        <v>3230.727272727273</v>
      </c>
      <c r="I109" s="51">
        <f t="shared" si="8"/>
        <v>13.2</v>
      </c>
      <c r="J109" s="39"/>
    </row>
    <row r="110" spans="1:10">
      <c r="A110" s="32" t="s">
        <v>65</v>
      </c>
      <c r="B110" s="64">
        <v>10</v>
      </c>
      <c r="C110" s="51">
        <f t="shared" si="6"/>
        <v>15.3141</v>
      </c>
      <c r="D110" s="51">
        <f t="shared" si="6"/>
        <v>15.3141</v>
      </c>
      <c r="E110" s="51">
        <f t="shared" si="6"/>
        <v>15.3141</v>
      </c>
      <c r="F110" s="39">
        <f t="shared" si="7"/>
        <v>198215.1575787894</v>
      </c>
      <c r="G110" s="39">
        <f t="shared" si="4"/>
        <v>225661.74999999997</v>
      </c>
      <c r="H110" s="39">
        <f t="shared" si="5"/>
        <v>198213.45454545453</v>
      </c>
      <c r="I110" s="51">
        <f t="shared" si="8"/>
        <v>13.2</v>
      </c>
      <c r="J110" s="39">
        <v>3612.39</v>
      </c>
    </row>
    <row r="111" spans="1:10">
      <c r="A111" s="32" t="s">
        <v>66</v>
      </c>
      <c r="B111" s="64">
        <v>10</v>
      </c>
      <c r="C111" s="51">
        <f t="shared" si="6"/>
        <v>15.3141</v>
      </c>
      <c r="D111" s="51">
        <f t="shared" si="6"/>
        <v>15.3141</v>
      </c>
      <c r="E111" s="51">
        <f t="shared" si="6"/>
        <v>15.3141</v>
      </c>
      <c r="F111" s="39">
        <f t="shared" si="7"/>
        <v>0</v>
      </c>
      <c r="G111" s="39">
        <f t="shared" si="4"/>
        <v>0</v>
      </c>
      <c r="H111" s="39">
        <f t="shared" si="5"/>
        <v>0</v>
      </c>
      <c r="I111" s="51">
        <f t="shared" si="8"/>
        <v>13.2</v>
      </c>
      <c r="J111" s="39"/>
    </row>
    <row r="112" spans="1:10">
      <c r="A112" s="32" t="s">
        <v>67</v>
      </c>
      <c r="B112" s="64">
        <v>10</v>
      </c>
      <c r="C112" s="65">
        <f t="shared" ref="C112:E113" si="9">12+1+0.3333+0.27+((0.0456+0.313)*13)</f>
        <v>18.2651</v>
      </c>
      <c r="D112" s="65">
        <f t="shared" si="9"/>
        <v>18.2651</v>
      </c>
      <c r="E112" s="65">
        <f t="shared" si="9"/>
        <v>18.2651</v>
      </c>
      <c r="F112" s="39">
        <f t="shared" si="7"/>
        <v>17729.214607303653</v>
      </c>
      <c r="G112" s="39">
        <f t="shared" si="4"/>
        <v>15022.25</v>
      </c>
      <c r="H112" s="39">
        <f t="shared" si="5"/>
        <v>17729.060606060604</v>
      </c>
      <c r="I112" s="51">
        <f t="shared" si="8"/>
        <v>13.2</v>
      </c>
      <c r="J112" s="39">
        <v>1053.6099999999999</v>
      </c>
    </row>
    <row r="113" spans="1:10">
      <c r="A113" s="32" t="s">
        <v>68</v>
      </c>
      <c r="B113" s="64">
        <v>10</v>
      </c>
      <c r="C113" s="65">
        <f t="shared" si="9"/>
        <v>18.2651</v>
      </c>
      <c r="D113" s="65">
        <f t="shared" si="9"/>
        <v>18.2651</v>
      </c>
      <c r="E113" s="65">
        <f t="shared" si="9"/>
        <v>18.2651</v>
      </c>
      <c r="F113" s="39">
        <f t="shared" si="7"/>
        <v>548653.57678839425</v>
      </c>
      <c r="G113" s="39">
        <f t="shared" si="4"/>
        <v>391433.75</v>
      </c>
      <c r="H113" s="39">
        <f t="shared" si="5"/>
        <v>548650.66666666663</v>
      </c>
      <c r="I113" s="51">
        <f t="shared" si="8"/>
        <v>13.2</v>
      </c>
      <c r="J113" s="39">
        <v>15051.59</v>
      </c>
    </row>
    <row r="114" spans="1:10">
      <c r="A114" s="32" t="s">
        <v>69</v>
      </c>
      <c r="B114" s="64">
        <v>10</v>
      </c>
      <c r="C114" s="51">
        <f>12+1+0.3333+0.27+((0.086+0.0456)*13)</f>
        <v>15.3141</v>
      </c>
      <c r="D114" s="51">
        <f t="shared" ref="D114:E114" si="10">12+1+0.3333+0.27+((0.086+0.0456)*13)</f>
        <v>15.3141</v>
      </c>
      <c r="E114" s="51">
        <f t="shared" si="10"/>
        <v>15.3141</v>
      </c>
      <c r="F114" s="39">
        <f t="shared" si="7"/>
        <v>8417.158579289644</v>
      </c>
      <c r="G114" s="39">
        <f t="shared" si="4"/>
        <v>7192.7499999999991</v>
      </c>
      <c r="H114" s="39">
        <f t="shared" si="5"/>
        <v>8417.181818181818</v>
      </c>
      <c r="I114" s="51">
        <f t="shared" si="8"/>
        <v>13.2</v>
      </c>
      <c r="J114" s="39">
        <v>301.02999999999997</v>
      </c>
    </row>
    <row r="115" spans="1:10">
      <c r="A115" s="32" t="s">
        <v>70</v>
      </c>
      <c r="B115" s="64">
        <v>10</v>
      </c>
      <c r="C115" s="65">
        <f>12+1+0.3333+0.27+((0.0456+0.313)*13)</f>
        <v>18.2651</v>
      </c>
      <c r="D115" s="65">
        <f t="shared" ref="D115:E116" si="11">12+1+0.3333+0.27+((0.0456+0.313)*13)</f>
        <v>18.2651</v>
      </c>
      <c r="E115" s="65">
        <f t="shared" si="11"/>
        <v>18.2651</v>
      </c>
      <c r="F115" s="39">
        <f t="shared" si="7"/>
        <v>90311.155577788901</v>
      </c>
      <c r="G115" s="39">
        <f t="shared" si="4"/>
        <v>60733.25</v>
      </c>
      <c r="H115" s="39">
        <f t="shared" si="5"/>
        <v>90310.969696969696</v>
      </c>
      <c r="I115" s="51">
        <f t="shared" si="8"/>
        <v>13.2</v>
      </c>
      <c r="J115" s="39">
        <v>2558.77</v>
      </c>
    </row>
    <row r="116" spans="1:10">
      <c r="A116" s="32" t="s">
        <v>71</v>
      </c>
      <c r="B116" s="64">
        <v>10</v>
      </c>
      <c r="C116" s="65">
        <f>12+1+0.3333+0.27+((0.0456+0.313)*13)</f>
        <v>18.2651</v>
      </c>
      <c r="D116" s="65">
        <f t="shared" si="11"/>
        <v>18.2651</v>
      </c>
      <c r="E116" s="65">
        <f t="shared" si="11"/>
        <v>18.2651</v>
      </c>
      <c r="F116" s="39">
        <f t="shared" si="7"/>
        <v>123770.93546773387</v>
      </c>
      <c r="G116" s="39">
        <f t="shared" si="4"/>
        <v>79926.5</v>
      </c>
      <c r="H116" s="39">
        <f t="shared" si="5"/>
        <v>123770.57575757576</v>
      </c>
      <c r="I116" s="51">
        <f t="shared" si="8"/>
        <v>13.2</v>
      </c>
      <c r="J116" s="39">
        <v>1956.7</v>
      </c>
    </row>
    <row r="117" spans="1:10">
      <c r="A117" s="32" t="s">
        <v>72</v>
      </c>
      <c r="B117" s="64">
        <v>10</v>
      </c>
      <c r="C117" s="51">
        <f t="shared" ref="C117:E155" si="12">12+1+0.3333+0.27+((0.086+0.0456)*13)</f>
        <v>15.3141</v>
      </c>
      <c r="D117" s="51">
        <f t="shared" si="12"/>
        <v>15.3141</v>
      </c>
      <c r="E117" s="51">
        <f t="shared" si="12"/>
        <v>15.3141</v>
      </c>
      <c r="F117" s="39">
        <f t="shared" si="7"/>
        <v>4077.7888944472238</v>
      </c>
      <c r="G117" s="39">
        <f t="shared" si="4"/>
        <v>5968.75</v>
      </c>
      <c r="H117" s="39">
        <f t="shared" si="5"/>
        <v>4077.727272727273</v>
      </c>
      <c r="I117" s="51">
        <f t="shared" si="8"/>
        <v>13.2</v>
      </c>
      <c r="J117" s="39">
        <v>301.02999999999997</v>
      </c>
    </row>
    <row r="118" spans="1:10">
      <c r="A118" s="32" t="s">
        <v>73</v>
      </c>
      <c r="B118" s="64">
        <v>10</v>
      </c>
      <c r="C118" s="51">
        <f t="shared" si="12"/>
        <v>15.3141</v>
      </c>
      <c r="D118" s="51">
        <f t="shared" si="12"/>
        <v>15.3141</v>
      </c>
      <c r="E118" s="51">
        <f t="shared" si="12"/>
        <v>15.3141</v>
      </c>
      <c r="F118" s="39">
        <f t="shared" si="7"/>
        <v>51731.31565782892</v>
      </c>
      <c r="G118" s="39">
        <f t="shared" si="4"/>
        <v>59049.749999999993</v>
      </c>
      <c r="H118" s="39">
        <f t="shared" si="5"/>
        <v>51730.727272727272</v>
      </c>
      <c r="I118" s="51">
        <f t="shared" si="8"/>
        <v>13.2</v>
      </c>
      <c r="J118" s="39">
        <v>1655.67</v>
      </c>
    </row>
    <row r="119" spans="1:10">
      <c r="A119" s="32" t="s">
        <v>74</v>
      </c>
      <c r="B119" s="64">
        <v>10</v>
      </c>
      <c r="C119" s="51">
        <f t="shared" si="12"/>
        <v>15.3141</v>
      </c>
      <c r="D119" s="51">
        <f t="shared" si="12"/>
        <v>15.3141</v>
      </c>
      <c r="E119" s="51">
        <f t="shared" si="12"/>
        <v>15.3141</v>
      </c>
      <c r="F119" s="39">
        <f t="shared" si="7"/>
        <v>33441.22061030515</v>
      </c>
      <c r="G119" s="39">
        <f t="shared" si="4"/>
        <v>42734</v>
      </c>
      <c r="H119" s="39">
        <f t="shared" si="5"/>
        <v>33441.181818181816</v>
      </c>
      <c r="I119" s="51">
        <f t="shared" si="8"/>
        <v>13.2</v>
      </c>
      <c r="J119" s="39">
        <v>2709.27</v>
      </c>
    </row>
    <row r="120" spans="1:10">
      <c r="A120" s="32" t="s">
        <v>75</v>
      </c>
      <c r="B120" s="64">
        <v>10</v>
      </c>
      <c r="C120" s="51">
        <f t="shared" si="12"/>
        <v>15.3141</v>
      </c>
      <c r="D120" s="51">
        <f t="shared" si="12"/>
        <v>15.3141</v>
      </c>
      <c r="E120" s="51">
        <f t="shared" si="12"/>
        <v>15.3141</v>
      </c>
      <c r="F120" s="39">
        <f t="shared" si="7"/>
        <v>170229.51475737867</v>
      </c>
      <c r="G120" s="39">
        <f t="shared" si="4"/>
        <v>145768.75</v>
      </c>
      <c r="H120" s="39">
        <f t="shared" si="5"/>
        <v>170228</v>
      </c>
      <c r="I120" s="51">
        <f t="shared" si="8"/>
        <v>13.2</v>
      </c>
      <c r="J120" s="39">
        <v>6622.68</v>
      </c>
    </row>
    <row r="121" spans="1:10">
      <c r="A121" s="32" t="s">
        <v>76</v>
      </c>
      <c r="B121" s="64">
        <v>10</v>
      </c>
      <c r="C121" s="51">
        <f t="shared" si="12"/>
        <v>15.3141</v>
      </c>
      <c r="D121" s="51">
        <f t="shared" si="12"/>
        <v>15.3141</v>
      </c>
      <c r="E121" s="51">
        <f t="shared" si="12"/>
        <v>15.3141</v>
      </c>
      <c r="F121" s="39">
        <f t="shared" si="7"/>
        <v>0</v>
      </c>
      <c r="G121" s="39">
        <f t="shared" si="4"/>
        <v>0</v>
      </c>
      <c r="H121" s="39">
        <f t="shared" si="5"/>
        <v>0</v>
      </c>
      <c r="I121" s="51">
        <f t="shared" si="8"/>
        <v>13.2</v>
      </c>
      <c r="J121" s="39"/>
    </row>
    <row r="122" spans="1:10">
      <c r="A122" s="32" t="s">
        <v>77</v>
      </c>
      <c r="B122" s="64">
        <v>10</v>
      </c>
      <c r="C122" s="65">
        <f>12+1+0.3333+0.27+((0.0456+0.313)*13)</f>
        <v>18.2651</v>
      </c>
      <c r="D122" s="65">
        <f t="shared" ref="D122:E122" si="13">12+1+0.3333+0.27+((0.0456+0.313)*13)</f>
        <v>18.2651</v>
      </c>
      <c r="E122" s="65">
        <f t="shared" si="13"/>
        <v>18.2651</v>
      </c>
      <c r="F122" s="39">
        <f t="shared" si="7"/>
        <v>0</v>
      </c>
      <c r="G122" s="39">
        <f t="shared" si="4"/>
        <v>0</v>
      </c>
      <c r="H122" s="39">
        <f t="shared" si="5"/>
        <v>0</v>
      </c>
      <c r="I122" s="51">
        <f t="shared" si="8"/>
        <v>13.2</v>
      </c>
      <c r="J122" s="39"/>
    </row>
    <row r="123" spans="1:10">
      <c r="A123" s="32" t="s">
        <v>78</v>
      </c>
      <c r="B123" s="64">
        <v>10</v>
      </c>
      <c r="C123" s="51">
        <f t="shared" si="12"/>
        <v>15.3141</v>
      </c>
      <c r="D123" s="51">
        <f t="shared" si="12"/>
        <v>15.3141</v>
      </c>
      <c r="E123" s="51">
        <f t="shared" si="12"/>
        <v>15.3141</v>
      </c>
      <c r="F123" s="39">
        <f t="shared" si="7"/>
        <v>13339.769884942471</v>
      </c>
      <c r="G123" s="39">
        <f t="shared" si="4"/>
        <v>15040</v>
      </c>
      <c r="H123" s="39">
        <f t="shared" si="5"/>
        <v>13339.545454545454</v>
      </c>
      <c r="I123" s="51">
        <f t="shared" si="8"/>
        <v>13.2</v>
      </c>
      <c r="J123" s="39"/>
    </row>
    <row r="124" spans="1:10">
      <c r="A124" s="32" t="s">
        <v>79</v>
      </c>
      <c r="B124" s="64">
        <v>10</v>
      </c>
      <c r="C124" s="51">
        <f t="shared" si="12"/>
        <v>15.3141</v>
      </c>
      <c r="D124" s="51">
        <f t="shared" si="12"/>
        <v>15.3141</v>
      </c>
      <c r="E124" s="51">
        <f t="shared" si="12"/>
        <v>15.3141</v>
      </c>
      <c r="F124" s="39">
        <f t="shared" si="7"/>
        <v>0</v>
      </c>
      <c r="G124" s="39">
        <f t="shared" si="4"/>
        <v>0</v>
      </c>
      <c r="H124" s="39">
        <f t="shared" si="5"/>
        <v>0</v>
      </c>
      <c r="I124" s="51">
        <f t="shared" si="8"/>
        <v>13.2</v>
      </c>
      <c r="J124" s="39"/>
    </row>
    <row r="125" spans="1:10">
      <c r="A125" s="32" t="s">
        <v>80</v>
      </c>
      <c r="B125" s="64">
        <v>10</v>
      </c>
      <c r="C125" s="65">
        <f>12+1+0.3333+0.27+((0.0456+0.313)*13)</f>
        <v>18.2651</v>
      </c>
      <c r="D125" s="65">
        <f t="shared" ref="D125:E125" si="14">12+1+0.3333+0.27+((0.0456+0.313)*13)</f>
        <v>18.2651</v>
      </c>
      <c r="E125" s="65">
        <f t="shared" si="14"/>
        <v>18.2651</v>
      </c>
      <c r="F125" s="39">
        <f t="shared" si="7"/>
        <v>60270.485242621311</v>
      </c>
      <c r="G125" s="39">
        <f t="shared" si="4"/>
        <v>43370.5</v>
      </c>
      <c r="H125" s="39">
        <f t="shared" si="5"/>
        <v>60270.15151515152</v>
      </c>
      <c r="I125" s="51">
        <f t="shared" si="8"/>
        <v>13.2</v>
      </c>
      <c r="J125" s="39">
        <v>1806.19</v>
      </c>
    </row>
    <row r="126" spans="1:10">
      <c r="A126" s="32" t="s">
        <v>81</v>
      </c>
      <c r="B126" s="64">
        <v>10</v>
      </c>
      <c r="C126" s="51">
        <f t="shared" si="12"/>
        <v>15.3141</v>
      </c>
      <c r="D126" s="51">
        <f t="shared" si="12"/>
        <v>15.3141</v>
      </c>
      <c r="E126" s="51">
        <f t="shared" si="12"/>
        <v>15.3141</v>
      </c>
      <c r="F126" s="39">
        <f t="shared" si="7"/>
        <v>46052.876438219108</v>
      </c>
      <c r="G126" s="39">
        <f t="shared" si="4"/>
        <v>26276.499999999996</v>
      </c>
      <c r="H126" s="39">
        <f t="shared" si="5"/>
        <v>46052.818181818184</v>
      </c>
      <c r="I126" s="51">
        <f t="shared" si="8"/>
        <v>13.2</v>
      </c>
      <c r="J126" s="39">
        <v>5719.61</v>
      </c>
    </row>
    <row r="127" spans="1:10">
      <c r="A127" s="32" t="s">
        <v>82</v>
      </c>
      <c r="B127" s="64">
        <v>10</v>
      </c>
      <c r="C127" s="51">
        <f t="shared" si="12"/>
        <v>15.3141</v>
      </c>
      <c r="D127" s="51">
        <f t="shared" si="12"/>
        <v>15.3141</v>
      </c>
      <c r="E127" s="51">
        <f t="shared" si="12"/>
        <v>15.3141</v>
      </c>
      <c r="F127" s="39">
        <f t="shared" si="7"/>
        <v>11391.695847923962</v>
      </c>
      <c r="G127" s="39">
        <f t="shared" si="4"/>
        <v>13003.75</v>
      </c>
      <c r="H127" s="39">
        <f t="shared" si="5"/>
        <v>11391.636363636362</v>
      </c>
      <c r="I127" s="51">
        <f t="shared" si="8"/>
        <v>13.2</v>
      </c>
      <c r="J127" s="39">
        <v>301.02999999999997</v>
      </c>
    </row>
    <row r="128" spans="1:10">
      <c r="A128" s="32" t="s">
        <v>83</v>
      </c>
      <c r="B128" s="64">
        <v>10</v>
      </c>
      <c r="C128" s="51">
        <f t="shared" si="12"/>
        <v>15.3141</v>
      </c>
      <c r="D128" s="51">
        <f t="shared" si="12"/>
        <v>15.3141</v>
      </c>
      <c r="E128" s="51">
        <f t="shared" si="12"/>
        <v>15.3141</v>
      </c>
      <c r="F128" s="39">
        <f t="shared" si="7"/>
        <v>11581.84092046023</v>
      </c>
      <c r="G128" s="39">
        <f t="shared" si="4"/>
        <v>15499.75</v>
      </c>
      <c r="H128" s="39">
        <f t="shared" si="5"/>
        <v>11581.848484848484</v>
      </c>
      <c r="I128" s="51">
        <f t="shared" si="8"/>
        <v>13.2</v>
      </c>
      <c r="J128" s="39"/>
    </row>
    <row r="129" spans="1:10">
      <c r="A129" s="32" t="s">
        <v>84</v>
      </c>
      <c r="B129" s="64">
        <v>10</v>
      </c>
      <c r="C129" s="51">
        <f t="shared" si="12"/>
        <v>15.3141</v>
      </c>
      <c r="D129" s="51">
        <f t="shared" si="12"/>
        <v>15.3141</v>
      </c>
      <c r="E129" s="51">
        <f t="shared" si="12"/>
        <v>15.3141</v>
      </c>
      <c r="F129" s="39">
        <f t="shared" si="7"/>
        <v>62891.645822911465</v>
      </c>
      <c r="G129" s="39">
        <f t="shared" si="4"/>
        <v>77607</v>
      </c>
      <c r="H129" s="39">
        <f t="shared" si="5"/>
        <v>62890.727272727265</v>
      </c>
      <c r="I129" s="51">
        <f t="shared" si="8"/>
        <v>13.2</v>
      </c>
      <c r="J129" s="39">
        <v>903.09</v>
      </c>
    </row>
    <row r="130" spans="1:10">
      <c r="A130" s="32" t="s">
        <v>85</v>
      </c>
      <c r="B130" s="64">
        <v>10</v>
      </c>
      <c r="C130" s="51">
        <f t="shared" si="12"/>
        <v>15.3141</v>
      </c>
      <c r="D130" s="51">
        <f t="shared" si="12"/>
        <v>15.3141</v>
      </c>
      <c r="E130" s="51">
        <f t="shared" si="12"/>
        <v>15.3141</v>
      </c>
      <c r="F130" s="39">
        <f t="shared" si="7"/>
        <v>16388.394197098551</v>
      </c>
      <c r="G130" s="39">
        <f t="shared" si="4"/>
        <v>8212.5</v>
      </c>
      <c r="H130" s="39">
        <f t="shared" si="5"/>
        <v>16388.39393939394</v>
      </c>
      <c r="I130" s="51">
        <f t="shared" si="8"/>
        <v>13.2</v>
      </c>
      <c r="J130" s="39">
        <v>451.55</v>
      </c>
    </row>
    <row r="131" spans="1:10">
      <c r="A131" s="32" t="s">
        <v>86</v>
      </c>
      <c r="B131" s="64">
        <v>10</v>
      </c>
      <c r="C131" s="51">
        <f t="shared" si="12"/>
        <v>15.3141</v>
      </c>
      <c r="D131" s="51">
        <f t="shared" si="12"/>
        <v>15.3141</v>
      </c>
      <c r="E131" s="51">
        <f t="shared" si="12"/>
        <v>15.3141</v>
      </c>
      <c r="F131" s="39">
        <f t="shared" si="7"/>
        <v>59640.620310155078</v>
      </c>
      <c r="G131" s="39">
        <f t="shared" si="4"/>
        <v>58104.25</v>
      </c>
      <c r="H131" s="39">
        <f t="shared" si="5"/>
        <v>59640.030303030297</v>
      </c>
      <c r="I131" s="51">
        <f t="shared" si="8"/>
        <v>13.2</v>
      </c>
      <c r="J131" s="39">
        <v>903.09</v>
      </c>
    </row>
    <row r="132" spans="1:10">
      <c r="A132" s="32" t="s">
        <v>87</v>
      </c>
      <c r="B132" s="64">
        <v>10</v>
      </c>
      <c r="C132" s="51">
        <f t="shared" si="12"/>
        <v>15.3141</v>
      </c>
      <c r="D132" s="51">
        <f t="shared" si="12"/>
        <v>15.3141</v>
      </c>
      <c r="E132" s="51">
        <f t="shared" si="12"/>
        <v>15.3141</v>
      </c>
      <c r="F132" s="39">
        <f t="shared" si="7"/>
        <v>179224.61230615308</v>
      </c>
      <c r="G132" s="39">
        <f t="shared" si="4"/>
        <v>167609.75</v>
      </c>
      <c r="H132" s="39">
        <f t="shared" si="5"/>
        <v>179223.63636363635</v>
      </c>
      <c r="I132" s="51">
        <f t="shared" si="8"/>
        <v>13.2</v>
      </c>
      <c r="J132" s="39">
        <v>4063.93</v>
      </c>
    </row>
    <row r="133" spans="1:10">
      <c r="A133" s="32" t="s">
        <v>88</v>
      </c>
      <c r="B133" s="64">
        <v>10</v>
      </c>
      <c r="C133" s="51">
        <f t="shared" si="12"/>
        <v>15.3141</v>
      </c>
      <c r="D133" s="51">
        <f t="shared" si="12"/>
        <v>15.3141</v>
      </c>
      <c r="E133" s="51">
        <f t="shared" si="12"/>
        <v>15.3141</v>
      </c>
      <c r="F133" s="39">
        <f t="shared" si="7"/>
        <v>5995.3476738369191</v>
      </c>
      <c r="G133" s="39">
        <f t="shared" si="4"/>
        <v>7322.7500000000009</v>
      </c>
      <c r="H133" s="39">
        <f t="shared" si="5"/>
        <v>5995.30303030303</v>
      </c>
      <c r="I133" s="51">
        <f t="shared" si="8"/>
        <v>13.2</v>
      </c>
      <c r="J133" s="39"/>
    </row>
    <row r="134" spans="1:10">
      <c r="A134" s="32" t="s">
        <v>89</v>
      </c>
      <c r="B134" s="64">
        <v>10</v>
      </c>
      <c r="C134" s="51">
        <f t="shared" si="12"/>
        <v>15.3141</v>
      </c>
      <c r="D134" s="51">
        <f t="shared" si="12"/>
        <v>15.3141</v>
      </c>
      <c r="E134" s="51">
        <f t="shared" si="12"/>
        <v>15.3141</v>
      </c>
      <c r="F134" s="39">
        <f t="shared" si="7"/>
        <v>6578.6893446723361</v>
      </c>
      <c r="G134" s="39">
        <f t="shared" si="4"/>
        <v>8682.75</v>
      </c>
      <c r="H134" s="39">
        <f t="shared" si="5"/>
        <v>6578.6666666666661</v>
      </c>
      <c r="I134" s="51">
        <f t="shared" si="8"/>
        <v>13.2</v>
      </c>
      <c r="J134" s="39"/>
    </row>
    <row r="135" spans="1:10">
      <c r="A135" s="32" t="s">
        <v>90</v>
      </c>
      <c r="B135" s="64">
        <v>10</v>
      </c>
      <c r="C135" s="51">
        <f t="shared" si="12"/>
        <v>15.3141</v>
      </c>
      <c r="D135" s="51">
        <f t="shared" si="12"/>
        <v>15.3141</v>
      </c>
      <c r="E135" s="51">
        <f t="shared" si="12"/>
        <v>15.3141</v>
      </c>
      <c r="F135" s="39">
        <f t="shared" si="7"/>
        <v>120078.63931965984</v>
      </c>
      <c r="G135" s="39">
        <f t="shared" si="4"/>
        <v>55280.75</v>
      </c>
      <c r="H135" s="39">
        <f t="shared" si="5"/>
        <v>120078.33333333333</v>
      </c>
      <c r="I135" s="51">
        <f t="shared" si="8"/>
        <v>13.2</v>
      </c>
      <c r="J135" s="39"/>
    </row>
    <row r="136" spans="1:10">
      <c r="A136" s="32" t="s">
        <v>91</v>
      </c>
      <c r="B136" s="64">
        <v>10</v>
      </c>
      <c r="C136" s="51">
        <f t="shared" si="12"/>
        <v>15.3141</v>
      </c>
      <c r="D136" s="51">
        <f t="shared" si="12"/>
        <v>15.3141</v>
      </c>
      <c r="E136" s="51">
        <f t="shared" si="12"/>
        <v>15.3141</v>
      </c>
      <c r="F136" s="39">
        <f t="shared" si="7"/>
        <v>0</v>
      </c>
      <c r="G136" s="39">
        <f t="shared" si="4"/>
        <v>0</v>
      </c>
      <c r="H136" s="39">
        <f t="shared" si="5"/>
        <v>0</v>
      </c>
      <c r="I136" s="51">
        <f t="shared" si="8"/>
        <v>13.2</v>
      </c>
      <c r="J136" s="39"/>
    </row>
    <row r="137" spans="1:10">
      <c r="A137" s="32" t="s">
        <v>92</v>
      </c>
      <c r="B137" s="64">
        <v>10</v>
      </c>
      <c r="C137" s="51">
        <f t="shared" si="12"/>
        <v>15.3141</v>
      </c>
      <c r="D137" s="51">
        <f t="shared" si="12"/>
        <v>15.3141</v>
      </c>
      <c r="E137" s="51">
        <f t="shared" si="12"/>
        <v>15.3141</v>
      </c>
      <c r="F137" s="39">
        <f t="shared" si="7"/>
        <v>19880.640320160081</v>
      </c>
      <c r="G137" s="39">
        <f t="shared" si="4"/>
        <v>21987.75</v>
      </c>
      <c r="H137" s="39">
        <f t="shared" si="5"/>
        <v>19880.60606060606</v>
      </c>
      <c r="I137" s="51">
        <f t="shared" si="8"/>
        <v>13.2</v>
      </c>
      <c r="J137" s="39">
        <v>903.1</v>
      </c>
    </row>
    <row r="138" spans="1:10">
      <c r="A138" s="32" t="s">
        <v>93</v>
      </c>
      <c r="B138" s="64">
        <v>10</v>
      </c>
      <c r="C138" s="51">
        <f t="shared" si="12"/>
        <v>15.3141</v>
      </c>
      <c r="D138" s="51">
        <f t="shared" si="12"/>
        <v>15.3141</v>
      </c>
      <c r="E138" s="51">
        <f t="shared" si="12"/>
        <v>15.3141</v>
      </c>
      <c r="F138" s="39">
        <f t="shared" si="7"/>
        <v>2438.2691345672838</v>
      </c>
      <c r="G138" s="39">
        <f t="shared" si="4"/>
        <v>0</v>
      </c>
      <c r="H138" s="39">
        <f t="shared" si="5"/>
        <v>2438.272727272727</v>
      </c>
      <c r="I138" s="51">
        <f t="shared" si="8"/>
        <v>13.2</v>
      </c>
      <c r="J138" s="39"/>
    </row>
    <row r="139" spans="1:10">
      <c r="A139" s="32" t="s">
        <v>94</v>
      </c>
      <c r="B139" s="64">
        <v>10</v>
      </c>
      <c r="C139" s="51">
        <f t="shared" si="12"/>
        <v>15.3141</v>
      </c>
      <c r="D139" s="51">
        <f t="shared" si="12"/>
        <v>15.3141</v>
      </c>
      <c r="E139" s="51">
        <f t="shared" si="12"/>
        <v>15.3141</v>
      </c>
      <c r="F139" s="39">
        <f t="shared" si="7"/>
        <v>0</v>
      </c>
      <c r="G139" s="39">
        <f t="shared" si="4"/>
        <v>0</v>
      </c>
      <c r="H139" s="39">
        <f t="shared" si="5"/>
        <v>0</v>
      </c>
      <c r="I139" s="51">
        <f t="shared" si="8"/>
        <v>13.2</v>
      </c>
      <c r="J139" s="39"/>
    </row>
    <row r="140" spans="1:10">
      <c r="A140" s="32" t="s">
        <v>95</v>
      </c>
      <c r="B140" s="64">
        <v>10</v>
      </c>
      <c r="C140" s="51">
        <f t="shared" si="12"/>
        <v>15.3141</v>
      </c>
      <c r="D140" s="51">
        <f t="shared" si="12"/>
        <v>15.3141</v>
      </c>
      <c r="E140" s="51">
        <f t="shared" si="12"/>
        <v>15.3141</v>
      </c>
      <c r="F140" s="39">
        <f t="shared" si="7"/>
        <v>11254.477238619309</v>
      </c>
      <c r="G140" s="39">
        <f t="shared" si="4"/>
        <v>5530.75</v>
      </c>
      <c r="H140" s="39">
        <f t="shared" si="5"/>
        <v>11254.454545454544</v>
      </c>
      <c r="I140" s="51">
        <f t="shared" si="8"/>
        <v>13.2</v>
      </c>
      <c r="J140" s="39">
        <v>752.58</v>
      </c>
    </row>
    <row r="141" spans="1:10">
      <c r="A141" s="32" t="s">
        <v>96</v>
      </c>
      <c r="B141" s="64">
        <v>10</v>
      </c>
      <c r="C141" s="51">
        <f t="shared" si="12"/>
        <v>15.3141</v>
      </c>
      <c r="D141" s="51">
        <f t="shared" si="12"/>
        <v>15.3141</v>
      </c>
      <c r="E141" s="51">
        <f t="shared" si="12"/>
        <v>15.3141</v>
      </c>
      <c r="F141" s="39">
        <f t="shared" si="7"/>
        <v>13670.985492746373</v>
      </c>
      <c r="G141" s="39">
        <f t="shared" si="4"/>
        <v>19194.75</v>
      </c>
      <c r="H141" s="39">
        <f t="shared" si="5"/>
        <v>13670.757575757576</v>
      </c>
      <c r="I141" s="51">
        <f t="shared" si="8"/>
        <v>13.2</v>
      </c>
      <c r="J141" s="39"/>
    </row>
    <row r="142" spans="1:10">
      <c r="A142" s="32" t="s">
        <v>97</v>
      </c>
      <c r="B142" s="64">
        <v>10</v>
      </c>
      <c r="C142" s="51">
        <f t="shared" si="12"/>
        <v>15.3141</v>
      </c>
      <c r="D142" s="51">
        <f t="shared" si="12"/>
        <v>15.3141</v>
      </c>
      <c r="E142" s="51">
        <f t="shared" si="12"/>
        <v>15.3141</v>
      </c>
      <c r="F142" s="39">
        <f t="shared" si="7"/>
        <v>12565.532766383192</v>
      </c>
      <c r="G142" s="39">
        <f t="shared" si="4"/>
        <v>17135.75</v>
      </c>
      <c r="H142" s="39">
        <f t="shared" si="5"/>
        <v>12565.454545454546</v>
      </c>
      <c r="I142" s="51">
        <f t="shared" si="8"/>
        <v>13.2</v>
      </c>
      <c r="J142" s="39"/>
    </row>
    <row r="143" spans="1:10">
      <c r="A143" s="32" t="s">
        <v>98</v>
      </c>
      <c r="B143" s="64">
        <v>10</v>
      </c>
      <c r="C143" s="51">
        <f t="shared" si="12"/>
        <v>15.3141</v>
      </c>
      <c r="D143" s="51">
        <f t="shared" si="12"/>
        <v>15.3141</v>
      </c>
      <c r="E143" s="51">
        <f t="shared" si="12"/>
        <v>15.3141</v>
      </c>
      <c r="F143" s="39">
        <f t="shared" si="7"/>
        <v>12726.013006503252</v>
      </c>
      <c r="G143" s="39">
        <f t="shared" si="4"/>
        <v>8812</v>
      </c>
      <c r="H143" s="39">
        <f t="shared" si="5"/>
        <v>12725.818181818182</v>
      </c>
      <c r="I143" s="51">
        <f t="shared" si="8"/>
        <v>13.2</v>
      </c>
      <c r="J143" s="39"/>
    </row>
    <row r="144" spans="1:10">
      <c r="A144" s="32" t="s">
        <v>99</v>
      </c>
      <c r="B144" s="64">
        <v>10</v>
      </c>
      <c r="C144" s="51">
        <f t="shared" si="12"/>
        <v>15.3141</v>
      </c>
      <c r="D144" s="51">
        <f t="shared" si="12"/>
        <v>15.3141</v>
      </c>
      <c r="E144" s="51">
        <f t="shared" si="12"/>
        <v>15.3141</v>
      </c>
      <c r="F144" s="39">
        <f t="shared" si="7"/>
        <v>0</v>
      </c>
      <c r="G144" s="39">
        <f t="shared" si="4"/>
        <v>0</v>
      </c>
      <c r="H144" s="39">
        <f t="shared" si="5"/>
        <v>0</v>
      </c>
      <c r="I144" s="51">
        <f t="shared" si="8"/>
        <v>13.2</v>
      </c>
      <c r="J144" s="39"/>
    </row>
    <row r="145" spans="1:10">
      <c r="A145" s="32" t="s">
        <v>100</v>
      </c>
      <c r="B145" s="64">
        <v>10</v>
      </c>
      <c r="C145" s="51">
        <f t="shared" si="12"/>
        <v>15.3141</v>
      </c>
      <c r="D145" s="51">
        <f t="shared" si="12"/>
        <v>15.3141</v>
      </c>
      <c r="E145" s="51">
        <f t="shared" si="12"/>
        <v>15.3141</v>
      </c>
      <c r="F145" s="39">
        <f t="shared" si="7"/>
        <v>3169.7348674337168</v>
      </c>
      <c r="G145" s="39">
        <f t="shared" si="4"/>
        <v>0</v>
      </c>
      <c r="H145" s="39">
        <f t="shared" si="5"/>
        <v>3169.7575757575755</v>
      </c>
      <c r="I145" s="51">
        <f t="shared" si="8"/>
        <v>13.2</v>
      </c>
      <c r="J145" s="39"/>
    </row>
    <row r="146" spans="1:10">
      <c r="A146" s="32" t="s">
        <v>101</v>
      </c>
      <c r="B146" s="64">
        <v>10</v>
      </c>
      <c r="C146" s="51">
        <f t="shared" si="12"/>
        <v>15.3141</v>
      </c>
      <c r="D146" s="51">
        <f t="shared" si="12"/>
        <v>15.3141</v>
      </c>
      <c r="E146" s="51">
        <f t="shared" si="12"/>
        <v>15.3141</v>
      </c>
      <c r="F146" s="39">
        <f t="shared" si="7"/>
        <v>7896.3981990995499</v>
      </c>
      <c r="G146" s="39">
        <f t="shared" si="4"/>
        <v>4777.75</v>
      </c>
      <c r="H146" s="39">
        <f t="shared" si="5"/>
        <v>7896.333333333333</v>
      </c>
      <c r="I146" s="51">
        <f t="shared" si="8"/>
        <v>13.2</v>
      </c>
      <c r="J146" s="39">
        <v>752.58</v>
      </c>
    </row>
    <row r="147" spans="1:10">
      <c r="A147" s="32" t="s">
        <v>102</v>
      </c>
      <c r="B147" s="64">
        <v>10</v>
      </c>
      <c r="C147" s="51">
        <f t="shared" si="12"/>
        <v>15.3141</v>
      </c>
      <c r="D147" s="51">
        <f t="shared" si="12"/>
        <v>15.3141</v>
      </c>
      <c r="E147" s="51">
        <f t="shared" si="12"/>
        <v>15.3141</v>
      </c>
      <c r="F147" s="39">
        <f t="shared" si="7"/>
        <v>19126.113056528266</v>
      </c>
      <c r="G147" s="39">
        <f t="shared" si="4"/>
        <v>14191</v>
      </c>
      <c r="H147" s="39">
        <f t="shared" si="5"/>
        <v>19126.030303030304</v>
      </c>
      <c r="I147" s="51">
        <f t="shared" si="8"/>
        <v>13.2</v>
      </c>
      <c r="J147" s="39"/>
    </row>
    <row r="148" spans="1:10">
      <c r="A148" s="32" t="s">
        <v>103</v>
      </c>
      <c r="B148" s="64">
        <v>10</v>
      </c>
      <c r="C148" s="51">
        <f t="shared" si="12"/>
        <v>15.3141</v>
      </c>
      <c r="D148" s="51">
        <f t="shared" si="12"/>
        <v>15.3141</v>
      </c>
      <c r="E148" s="51">
        <f t="shared" si="12"/>
        <v>15.3141</v>
      </c>
      <c r="F148" s="39">
        <f t="shared" si="7"/>
        <v>0</v>
      </c>
      <c r="G148" s="39">
        <f t="shared" si="4"/>
        <v>0</v>
      </c>
      <c r="H148" s="39">
        <f t="shared" si="5"/>
        <v>0</v>
      </c>
      <c r="I148" s="51">
        <f t="shared" si="8"/>
        <v>13.2</v>
      </c>
      <c r="J148" s="39"/>
    </row>
    <row r="149" spans="1:10">
      <c r="A149" s="32" t="s">
        <v>104</v>
      </c>
      <c r="B149" s="64">
        <v>10</v>
      </c>
      <c r="C149" s="51">
        <f t="shared" si="12"/>
        <v>15.3141</v>
      </c>
      <c r="D149" s="51">
        <f t="shared" si="12"/>
        <v>15.3141</v>
      </c>
      <c r="E149" s="51">
        <f t="shared" si="12"/>
        <v>15.3141</v>
      </c>
      <c r="F149" s="39">
        <f t="shared" si="7"/>
        <v>0</v>
      </c>
      <c r="G149" s="39">
        <f t="shared" si="4"/>
        <v>0</v>
      </c>
      <c r="H149" s="39">
        <f t="shared" si="5"/>
        <v>0</v>
      </c>
      <c r="I149" s="51">
        <f t="shared" si="8"/>
        <v>13.2</v>
      </c>
      <c r="J149" s="39"/>
    </row>
    <row r="150" spans="1:10">
      <c r="A150" s="32" t="s">
        <v>105</v>
      </c>
      <c r="B150" s="64">
        <v>10</v>
      </c>
      <c r="C150" s="51">
        <f t="shared" si="12"/>
        <v>15.3141</v>
      </c>
      <c r="D150" s="51">
        <f t="shared" si="12"/>
        <v>15.3141</v>
      </c>
      <c r="E150" s="51">
        <f t="shared" si="12"/>
        <v>15.3141</v>
      </c>
      <c r="F150" s="39">
        <f t="shared" si="7"/>
        <v>0</v>
      </c>
      <c r="G150" s="39">
        <f t="shared" si="4"/>
        <v>0</v>
      </c>
      <c r="H150" s="39">
        <f t="shared" si="5"/>
        <v>0</v>
      </c>
      <c r="I150" s="51">
        <f t="shared" si="8"/>
        <v>13.2</v>
      </c>
      <c r="J150" s="39"/>
    </row>
    <row r="151" spans="1:10">
      <c r="A151" s="32" t="s">
        <v>106</v>
      </c>
      <c r="B151" s="64">
        <v>10</v>
      </c>
      <c r="C151" s="51">
        <f t="shared" si="12"/>
        <v>15.3141</v>
      </c>
      <c r="D151" s="51">
        <f t="shared" si="12"/>
        <v>15.3141</v>
      </c>
      <c r="E151" s="51">
        <f t="shared" si="12"/>
        <v>15.3141</v>
      </c>
      <c r="F151" s="39">
        <f t="shared" si="7"/>
        <v>68942.021010505254</v>
      </c>
      <c r="G151" s="39">
        <f t="shared" si="4"/>
        <v>51052.25</v>
      </c>
      <c r="H151" s="39">
        <f t="shared" si="5"/>
        <v>68941.696969696961</v>
      </c>
      <c r="I151" s="51">
        <f t="shared" si="8"/>
        <v>13.2</v>
      </c>
      <c r="J151" s="39">
        <v>1806.19</v>
      </c>
    </row>
    <row r="152" spans="1:10">
      <c r="A152" s="32" t="s">
        <v>107</v>
      </c>
      <c r="B152" s="64">
        <v>10</v>
      </c>
      <c r="C152" s="51">
        <f t="shared" si="12"/>
        <v>15.3141</v>
      </c>
      <c r="D152" s="51">
        <f t="shared" si="12"/>
        <v>15.3141</v>
      </c>
      <c r="E152" s="51">
        <f t="shared" si="12"/>
        <v>15.3141</v>
      </c>
      <c r="F152" s="39">
        <f t="shared" si="7"/>
        <v>0</v>
      </c>
      <c r="G152" s="39">
        <f t="shared" si="4"/>
        <v>0</v>
      </c>
      <c r="H152" s="39">
        <f t="shared" si="5"/>
        <v>0</v>
      </c>
      <c r="I152" s="51">
        <f t="shared" si="8"/>
        <v>13.2</v>
      </c>
      <c r="J152" s="39"/>
    </row>
    <row r="153" spans="1:10">
      <c r="A153" s="32" t="s">
        <v>108</v>
      </c>
      <c r="B153" s="64">
        <v>10</v>
      </c>
      <c r="C153" s="51">
        <f t="shared" si="12"/>
        <v>15.3141</v>
      </c>
      <c r="D153" s="51">
        <f t="shared" si="12"/>
        <v>15.3141</v>
      </c>
      <c r="E153" s="51">
        <f t="shared" si="12"/>
        <v>15.3141</v>
      </c>
      <c r="F153" s="39">
        <f t="shared" si="7"/>
        <v>1782.7413706853426</v>
      </c>
      <c r="G153" s="39">
        <f t="shared" si="4"/>
        <v>1782.5</v>
      </c>
      <c r="H153" s="39">
        <f t="shared" si="5"/>
        <v>1782.7272727272725</v>
      </c>
      <c r="I153" s="51">
        <f t="shared" si="8"/>
        <v>13.2</v>
      </c>
      <c r="J153" s="39"/>
    </row>
    <row r="154" spans="1:10">
      <c r="A154" s="32" t="s">
        <v>109</v>
      </c>
      <c r="B154" s="64">
        <v>10</v>
      </c>
      <c r="C154" s="51">
        <f t="shared" si="12"/>
        <v>15.3141</v>
      </c>
      <c r="D154" s="51">
        <f t="shared" si="12"/>
        <v>15.3141</v>
      </c>
      <c r="E154" s="51">
        <f t="shared" si="12"/>
        <v>15.3141</v>
      </c>
      <c r="F154" s="39">
        <f t="shared" si="7"/>
        <v>0</v>
      </c>
      <c r="G154" s="39">
        <f t="shared" si="4"/>
        <v>0</v>
      </c>
      <c r="H154" s="39">
        <f t="shared" si="5"/>
        <v>0</v>
      </c>
      <c r="I154" s="51">
        <f t="shared" si="8"/>
        <v>13.2</v>
      </c>
      <c r="J154" s="39"/>
    </row>
    <row r="155" spans="1:10" ht="11.25">
      <c r="A155" s="33" t="s">
        <v>110</v>
      </c>
      <c r="B155" s="64">
        <v>10</v>
      </c>
      <c r="C155" s="51">
        <f t="shared" si="12"/>
        <v>15.3141</v>
      </c>
      <c r="D155" s="51">
        <f t="shared" si="12"/>
        <v>15.3141</v>
      </c>
      <c r="E155" s="51">
        <f t="shared" si="12"/>
        <v>15.3141</v>
      </c>
      <c r="F155" s="39">
        <f t="shared" si="7"/>
        <v>32513.606803401704</v>
      </c>
      <c r="G155" s="39">
        <f t="shared" si="4"/>
        <v>30326</v>
      </c>
      <c r="H155" s="39">
        <f t="shared" si="5"/>
        <v>32513.575757575756</v>
      </c>
      <c r="I155" s="51">
        <f t="shared" si="8"/>
        <v>13.2</v>
      </c>
      <c r="J155" s="39">
        <v>602.05999999999995</v>
      </c>
    </row>
    <row r="156" spans="1:10">
      <c r="A156" s="32" t="s">
        <v>111</v>
      </c>
      <c r="B156" s="64"/>
      <c r="C156" s="51">
        <f>12+1+((0.086+0.0456)*13)</f>
        <v>14.710799999999999</v>
      </c>
      <c r="D156" s="51">
        <f t="shared" ref="D156:E156" si="15">12+1+((0.086+0.0456)*13)</f>
        <v>14.710799999999999</v>
      </c>
      <c r="E156" s="51">
        <f t="shared" si="15"/>
        <v>14.710799999999999</v>
      </c>
      <c r="F156" s="39">
        <f t="shared" si="7"/>
        <v>0</v>
      </c>
      <c r="G156" s="39">
        <f t="shared" si="4"/>
        <v>0</v>
      </c>
      <c r="H156" s="39">
        <f t="shared" si="5"/>
        <v>0</v>
      </c>
      <c r="I156" s="51"/>
      <c r="J156" s="39"/>
    </row>
    <row r="157" spans="1:10">
      <c r="A157" s="32" t="s">
        <v>112</v>
      </c>
      <c r="B157" s="64"/>
      <c r="C157" s="51">
        <f t="shared" ref="C157:E159" si="16">12+1+((0.086+0.0456)*13)</f>
        <v>14.710799999999999</v>
      </c>
      <c r="D157" s="51">
        <f t="shared" si="16"/>
        <v>14.710799999999999</v>
      </c>
      <c r="E157" s="51">
        <f t="shared" si="16"/>
        <v>14.710799999999999</v>
      </c>
      <c r="F157" s="39">
        <f t="shared" si="7"/>
        <v>0</v>
      </c>
      <c r="G157" s="39">
        <f>G64/0.04</f>
        <v>1354.5</v>
      </c>
      <c r="H157" s="39">
        <f t="shared" si="5"/>
        <v>0</v>
      </c>
      <c r="I157" s="51"/>
      <c r="J157" s="39">
        <v>1655.67</v>
      </c>
    </row>
    <row r="158" spans="1:10">
      <c r="A158" s="52" t="s">
        <v>116</v>
      </c>
      <c r="B158" s="64"/>
      <c r="C158" s="51">
        <f t="shared" si="16"/>
        <v>14.710799999999999</v>
      </c>
      <c r="D158" s="51">
        <f t="shared" si="16"/>
        <v>14.710799999999999</v>
      </c>
      <c r="E158" s="51">
        <f t="shared" si="16"/>
        <v>14.710799999999999</v>
      </c>
      <c r="F158" s="39">
        <f>F72/0.1999</f>
        <v>40215.207603801908</v>
      </c>
      <c r="G158" s="39">
        <f>G72/4%</f>
        <v>147940.25</v>
      </c>
      <c r="H158" s="39">
        <f>H72/0.33</f>
        <v>40215.666666666664</v>
      </c>
      <c r="I158" s="51"/>
      <c r="J158" s="39"/>
    </row>
    <row r="159" spans="1:10">
      <c r="A159" s="36" t="s">
        <v>117</v>
      </c>
      <c r="B159" s="64"/>
      <c r="C159" s="51">
        <f t="shared" si="16"/>
        <v>14.710799999999999</v>
      </c>
      <c r="D159" s="51">
        <f t="shared" si="16"/>
        <v>14.710799999999999</v>
      </c>
      <c r="E159" s="51">
        <f t="shared" si="16"/>
        <v>14.710799999999999</v>
      </c>
      <c r="F159" s="39">
        <f>F73/0.1999</f>
        <v>656855.1775887945</v>
      </c>
      <c r="G159" s="39">
        <f>G73/4%</f>
        <v>1186539.5</v>
      </c>
      <c r="H159" s="39">
        <f>H73/0.33</f>
        <v>656858.75757575757</v>
      </c>
      <c r="I159" s="51"/>
      <c r="J159" s="39"/>
    </row>
    <row r="160" spans="1:10">
      <c r="A160" s="32" t="s">
        <v>123</v>
      </c>
      <c r="B160" s="39">
        <f>SUM(B101:B159)</f>
        <v>550</v>
      </c>
      <c r="C160" s="39">
        <f t="shared" ref="C160:I160" si="17">SUM(C101:C159)</f>
        <v>918.82470000000092</v>
      </c>
      <c r="D160" s="39">
        <f t="shared" si="17"/>
        <v>918.82470000000092</v>
      </c>
      <c r="E160" s="39">
        <f t="shared" si="17"/>
        <v>918.82470000000092</v>
      </c>
      <c r="F160" s="39">
        <f t="shared" si="17"/>
        <v>3055999.9999999991</v>
      </c>
      <c r="G160" s="39">
        <f t="shared" si="17"/>
        <v>3288886.75</v>
      </c>
      <c r="H160" s="39">
        <f t="shared" si="17"/>
        <v>3055990.4848484853</v>
      </c>
      <c r="I160" s="39">
        <f t="shared" si="17"/>
        <v>726.00000000000045</v>
      </c>
      <c r="J160" s="39">
        <f>SUM(J101:J159)</f>
        <v>77365.169999999984</v>
      </c>
    </row>
    <row r="161" spans="1:10">
      <c r="B161" s="37"/>
      <c r="C161" s="37"/>
      <c r="D161" s="37"/>
      <c r="E161" s="37"/>
      <c r="F161" s="37"/>
      <c r="G161" s="37"/>
      <c r="H161" s="37"/>
      <c r="I161" s="37"/>
      <c r="J161" s="38">
        <f>77365.17-J160</f>
        <v>0</v>
      </c>
    </row>
    <row r="162" spans="1:10">
      <c r="A162" s="34" t="s">
        <v>142</v>
      </c>
      <c r="E162" s="38"/>
      <c r="F162" s="38"/>
      <c r="G162" s="38"/>
      <c r="H162" s="38"/>
      <c r="I162" s="38"/>
    </row>
    <row r="163" spans="1:10">
      <c r="A163" s="31" t="s">
        <v>239</v>
      </c>
    </row>
    <row r="164" spans="1:10">
      <c r="A164" s="31" t="s">
        <v>143</v>
      </c>
    </row>
    <row r="165" spans="1:10">
      <c r="A165" s="31" t="s">
        <v>144</v>
      </c>
    </row>
    <row r="166" spans="1:10">
      <c r="A166" s="31" t="s">
        <v>240</v>
      </c>
    </row>
    <row r="167" spans="1:10">
      <c r="A167" s="31" t="s">
        <v>145</v>
      </c>
    </row>
    <row r="168" spans="1:10">
      <c r="A168" s="31" t="s">
        <v>238</v>
      </c>
    </row>
    <row r="171" spans="1:10">
      <c r="A171" s="32" t="s">
        <v>131</v>
      </c>
      <c r="B171" s="68">
        <f>SUM(B189:B199)+B202+B239+B240+B241+B242+B243+B244+B245</f>
        <v>353355.7</v>
      </c>
      <c r="C171" s="68">
        <f>SUM(C189:C199)+C202+C239+C240+C241+C242+C243+C244+C245</f>
        <v>14392372.213208999</v>
      </c>
      <c r="D171" s="68">
        <f t="shared" ref="D171:E171" si="18">SUM(D189:D199)+D202+D239+D240+D241+D242+D243+D244+D245</f>
        <v>54944.387403000008</v>
      </c>
      <c r="E171" s="68">
        <f t="shared" si="18"/>
        <v>598672.88617199997</v>
      </c>
      <c r="F171" s="68">
        <f>SUM(F189:F199)+F202+F239+F240+F241+F242+F243+F244+F245+F251</f>
        <v>3944822.5197599996</v>
      </c>
      <c r="G171" s="68">
        <f t="shared" ref="G171:I171" si="19">SUM(G189:G199)+G202+G239+G240+G241+G242+G243+G244+G245+G251</f>
        <v>2350817.3741279999</v>
      </c>
      <c r="H171" s="68">
        <f t="shared" si="19"/>
        <v>7909221.2217599992</v>
      </c>
      <c r="I171" s="68">
        <f t="shared" si="19"/>
        <v>821977.72799999989</v>
      </c>
      <c r="J171" s="39">
        <f>SUM(B171:I171)</f>
        <v>30426184.030431993</v>
      </c>
    </row>
    <row r="172" spans="1:10">
      <c r="A172" s="32" t="s">
        <v>132</v>
      </c>
      <c r="B172" s="68">
        <f>B211+B214</f>
        <v>0</v>
      </c>
      <c r="C172" s="68">
        <f t="shared" ref="C172:I172" si="20">C211+C214</f>
        <v>1310500.7383979999</v>
      </c>
      <c r="D172" s="68">
        <f t="shared" si="20"/>
        <v>0</v>
      </c>
      <c r="E172" s="68">
        <f t="shared" si="20"/>
        <v>34352.129697000004</v>
      </c>
      <c r="F172" s="68">
        <f t="shared" si="20"/>
        <v>177860.89627199995</v>
      </c>
      <c r="G172" s="68">
        <f t="shared" si="20"/>
        <v>33928.448735999991</v>
      </c>
      <c r="H172" s="68">
        <f t="shared" si="20"/>
        <v>355898.04846545454</v>
      </c>
      <c r="I172" s="68">
        <f t="shared" si="20"/>
        <v>94843.584000000003</v>
      </c>
      <c r="J172" s="39">
        <f t="shared" ref="J172:J176" si="21">SUM(B172:I172)</f>
        <v>2007383.8455684541</v>
      </c>
    </row>
    <row r="173" spans="1:10">
      <c r="A173" s="32" t="s">
        <v>133</v>
      </c>
      <c r="B173" s="68">
        <f>B220+B230+B235+B238</f>
        <v>0</v>
      </c>
      <c r="C173" s="68">
        <f t="shared" ref="C173:I173" si="22">C220+C230+C235+C238</f>
        <v>4464231.9742020005</v>
      </c>
      <c r="D173" s="68">
        <f t="shared" si="22"/>
        <v>19801.131300000001</v>
      </c>
      <c r="E173" s="68">
        <f t="shared" si="22"/>
        <v>109736.24636999999</v>
      </c>
      <c r="F173" s="68">
        <f t="shared" si="22"/>
        <v>631622.886528</v>
      </c>
      <c r="G173" s="68">
        <f t="shared" si="22"/>
        <v>163363.47081599999</v>
      </c>
      <c r="H173" s="68">
        <f t="shared" si="22"/>
        <v>1263870.8991418178</v>
      </c>
      <c r="I173" s="68">
        <f t="shared" si="22"/>
        <v>233157.144</v>
      </c>
      <c r="J173" s="39">
        <f t="shared" si="21"/>
        <v>6885783.7523578191</v>
      </c>
    </row>
    <row r="174" spans="1:10">
      <c r="A174" s="32" t="s">
        <v>38</v>
      </c>
      <c r="B174" s="68">
        <f>B200+B201+B203+B204+B205+B206+B207+B208+B209+B210+B213</f>
        <v>1140506.5999999999</v>
      </c>
      <c r="C174" s="68">
        <f t="shared" ref="C174:I174" si="23">C200+C201+C203+C204+C205+C206+C207+C208+C209+C210+C213</f>
        <v>24691470.984351002</v>
      </c>
      <c r="D174" s="68">
        <f t="shared" si="23"/>
        <v>9871.259062000001</v>
      </c>
      <c r="E174" s="68">
        <f t="shared" si="23"/>
        <v>450312.13802800002</v>
      </c>
      <c r="F174" s="68">
        <f t="shared" si="23"/>
        <v>3265311.8140799995</v>
      </c>
      <c r="G174" s="68">
        <f t="shared" si="23"/>
        <v>693085.45487999998</v>
      </c>
      <c r="H174" s="68">
        <f t="shared" si="23"/>
        <v>6592804.7580509083</v>
      </c>
      <c r="I174" s="68">
        <f t="shared" si="23"/>
        <v>1418701.9439999999</v>
      </c>
      <c r="J174" s="39">
        <f t="shared" si="21"/>
        <v>38262064.952451907</v>
      </c>
    </row>
    <row r="175" spans="1:10">
      <c r="A175" s="32" t="s">
        <v>134</v>
      </c>
      <c r="B175" s="68">
        <f>(B246+B251)-SUM(B171:B174)</f>
        <v>489779.80000000028</v>
      </c>
      <c r="C175" s="68">
        <f>(C246)-SUM(C171:C174)</f>
        <v>7423908.7541640103</v>
      </c>
      <c r="D175" s="68">
        <f t="shared" ref="D175:I175" si="24">(D246+D251)-SUM(D171:D174)</f>
        <v>0</v>
      </c>
      <c r="E175" s="68">
        <f t="shared" si="24"/>
        <v>202549.033971</v>
      </c>
      <c r="F175" s="68">
        <f t="shared" si="24"/>
        <v>1094798.661696</v>
      </c>
      <c r="G175" s="68">
        <f t="shared" si="24"/>
        <v>249653.48553600023</v>
      </c>
      <c r="H175" s="68">
        <f t="shared" si="24"/>
        <v>2190677.9747490883</v>
      </c>
      <c r="I175" s="68">
        <f t="shared" si="24"/>
        <v>430747.9440000006</v>
      </c>
      <c r="J175" s="39">
        <f t="shared" si="21"/>
        <v>12082115.6541161</v>
      </c>
    </row>
    <row r="176" spans="1:10">
      <c r="A176" s="32" t="s">
        <v>135</v>
      </c>
      <c r="B176" s="39">
        <f>B251</f>
        <v>0</v>
      </c>
      <c r="C176" s="39">
        <f t="shared" ref="C176:E176" si="25">C251</f>
        <v>27962673.055727996</v>
      </c>
      <c r="D176" s="39">
        <f t="shared" si="25"/>
        <v>0</v>
      </c>
      <c r="E176" s="39">
        <f t="shared" si="25"/>
        <v>0</v>
      </c>
      <c r="F176" s="39"/>
      <c r="G176" s="39"/>
      <c r="H176" s="39"/>
      <c r="I176" s="39"/>
      <c r="J176" s="39">
        <f t="shared" si="21"/>
        <v>27962673.055727996</v>
      </c>
    </row>
    <row r="177" spans="1:10">
      <c r="A177" s="59" t="s">
        <v>136</v>
      </c>
      <c r="B177" s="68">
        <f>SUM(B171:B176)</f>
        <v>1983642.1</v>
      </c>
      <c r="C177" s="68">
        <f>SUM(C171:C176)</f>
        <v>80245157.720052004</v>
      </c>
      <c r="D177" s="68">
        <f t="shared" ref="D177:H177" si="26">SUM(D171:D176)</f>
        <v>84616.777765000006</v>
      </c>
      <c r="E177" s="68">
        <f t="shared" si="26"/>
        <v>1395622.4342379998</v>
      </c>
      <c r="F177" s="68">
        <f t="shared" si="26"/>
        <v>9114416.7783359997</v>
      </c>
      <c r="G177" s="68">
        <f t="shared" si="26"/>
        <v>3490848.234096</v>
      </c>
      <c r="H177" s="68">
        <f t="shared" si="26"/>
        <v>18312472.902167268</v>
      </c>
      <c r="I177" s="68">
        <f>SUM(I171:I176)</f>
        <v>2999428.3440000005</v>
      </c>
      <c r="J177" s="39">
        <f>SUM(B177:I177)</f>
        <v>117626205.29065429</v>
      </c>
    </row>
    <row r="178" spans="1:10">
      <c r="B178" s="38">
        <f>B177-B273</f>
        <v>0</v>
      </c>
      <c r="C178" s="38">
        <f t="shared" ref="C178:I178" si="27">C177-C273</f>
        <v>0</v>
      </c>
      <c r="D178" s="38">
        <f t="shared" si="27"/>
        <v>0</v>
      </c>
      <c r="E178" s="38">
        <f t="shared" si="27"/>
        <v>0</v>
      </c>
      <c r="F178" s="38">
        <f t="shared" si="27"/>
        <v>0</v>
      </c>
      <c r="G178" s="38">
        <f t="shared" si="27"/>
        <v>0</v>
      </c>
      <c r="H178" s="38">
        <f t="shared" si="27"/>
        <v>0</v>
      </c>
      <c r="I178" s="38">
        <f t="shared" si="27"/>
        <v>0</v>
      </c>
      <c r="J178" s="38"/>
    </row>
    <row r="179" spans="1:10">
      <c r="H179" s="35"/>
      <c r="I179" s="69" t="s">
        <v>137</v>
      </c>
      <c r="J179" s="63">
        <f>J174-(27178.79+25511046.5)</f>
        <v>12723839.662451908</v>
      </c>
    </row>
    <row r="180" spans="1:10" ht="11.25">
      <c r="I180" s="49" t="s">
        <v>138</v>
      </c>
      <c r="J180" s="62">
        <v>7881554.1500000004</v>
      </c>
    </row>
    <row r="183" spans="1:10">
      <c r="J183" s="71" t="s">
        <v>146</v>
      </c>
    </row>
    <row r="185" spans="1:10">
      <c r="B185" s="34" t="s">
        <v>125</v>
      </c>
    </row>
    <row r="187" spans="1:10">
      <c r="B187" s="53" t="s">
        <v>126</v>
      </c>
      <c r="C187" s="99" t="s">
        <v>236</v>
      </c>
      <c r="D187" s="73"/>
      <c r="E187" s="74"/>
      <c r="F187" s="66">
        <v>0.19989999999999999</v>
      </c>
      <c r="G187" s="66">
        <v>0.04</v>
      </c>
      <c r="H187" s="66">
        <v>0.4</v>
      </c>
      <c r="I187" s="73" t="s">
        <v>128</v>
      </c>
      <c r="J187" s="53"/>
    </row>
    <row r="188" spans="1:10" s="53" customFormat="1">
      <c r="A188" s="36" t="s">
        <v>46</v>
      </c>
      <c r="B188" s="36" t="s">
        <v>47</v>
      </c>
      <c r="C188" s="51" t="s">
        <v>48</v>
      </c>
      <c r="D188" s="51" t="s">
        <v>49</v>
      </c>
      <c r="E188" s="36" t="s">
        <v>50</v>
      </c>
      <c r="F188" s="36" t="s">
        <v>51</v>
      </c>
      <c r="G188" s="36" t="s">
        <v>52</v>
      </c>
      <c r="H188" s="36" t="s">
        <v>53</v>
      </c>
      <c r="I188" s="36" t="s">
        <v>54</v>
      </c>
      <c r="J188" s="52" t="s">
        <v>55</v>
      </c>
    </row>
    <row r="189" spans="1:10">
      <c r="A189" s="32" t="s">
        <v>56</v>
      </c>
      <c r="B189" s="39">
        <f t="shared" ref="B189:E204" si="28">B8*B101</f>
        <v>0</v>
      </c>
      <c r="C189" s="39">
        <f>(C8-J101)*C101</f>
        <v>1568052.353352</v>
      </c>
      <c r="D189" s="39">
        <f>D8*D101</f>
        <v>22135.918986000001</v>
      </c>
      <c r="E189" s="39">
        <f>E8*E101</f>
        <v>124423.387116</v>
      </c>
      <c r="F189" s="39">
        <f>($F$187*F101)*(12+1+0.27+((0.0456+0.086)*13))</f>
        <v>135481.711152</v>
      </c>
      <c r="G189" s="39">
        <f>(($G$187*((0.0456+0.086)*13))*G101)*12</f>
        <v>11801.645855999999</v>
      </c>
      <c r="H189" s="39">
        <f t="shared" ref="H189:H220" si="29">($H$187*H101)*(12+1+0.27+((0.0456+0.086)*13))</f>
        <v>271098.54911999998</v>
      </c>
      <c r="I189" s="39">
        <f t="shared" ref="I189:I243" si="30">I8*I101</f>
        <v>43469.975999999995</v>
      </c>
      <c r="J189" s="39">
        <f>SUM(B189:I189)</f>
        <v>2176463.541582</v>
      </c>
    </row>
    <row r="190" spans="1:10">
      <c r="A190" s="32" t="s">
        <v>57</v>
      </c>
      <c r="B190" s="39">
        <f>B9*B102</f>
        <v>96127.2</v>
      </c>
      <c r="C190" s="39">
        <f t="shared" ref="C190:C244" si="31">(C9-J102)*C102</f>
        <v>0</v>
      </c>
      <c r="D190" s="39">
        <f t="shared" si="28"/>
        <v>0</v>
      </c>
      <c r="E190" s="39">
        <f t="shared" si="28"/>
        <v>30914.573670000002</v>
      </c>
      <c r="F190" s="39">
        <f>($F$187*F102)*(12+1+0.27+((0.0456+0.086)*13))</f>
        <v>0</v>
      </c>
      <c r="G190" s="39">
        <f>(($G$187*((0.0456+0.086)*13))*G102)*12</f>
        <v>0</v>
      </c>
      <c r="H190" s="39">
        <f t="shared" si="29"/>
        <v>0</v>
      </c>
      <c r="I190" s="39">
        <f t="shared" si="30"/>
        <v>0</v>
      </c>
      <c r="J190" s="39">
        <f t="shared" ref="J190:J197" si="32">SUM(B190:I190)</f>
        <v>127041.77367</v>
      </c>
    </row>
    <row r="191" spans="1:10">
      <c r="A191" s="32" t="s">
        <v>58</v>
      </c>
      <c r="B191" s="39">
        <f t="shared" si="28"/>
        <v>0</v>
      </c>
      <c r="C191" s="39">
        <f t="shared" si="31"/>
        <v>504172.48475100001</v>
      </c>
      <c r="D191" s="39">
        <f t="shared" si="28"/>
        <v>0</v>
      </c>
      <c r="E191" s="39">
        <f t="shared" si="28"/>
        <v>33383.972295</v>
      </c>
      <c r="F191" s="39">
        <f>($F$187*F103)*(12+1+0.27+((0.0456+0.086)*13))</f>
        <v>58704.811535999994</v>
      </c>
      <c r="G191" s="39">
        <f t="shared" ref="G191" si="33">($G$187*G103)*12</f>
        <v>7267.7999999999993</v>
      </c>
      <c r="H191" s="39">
        <f t="shared" si="29"/>
        <v>117467.26737454544</v>
      </c>
      <c r="I191" s="39">
        <f t="shared" si="30"/>
        <v>23710.895999999997</v>
      </c>
      <c r="J191" s="39">
        <f t="shared" si="32"/>
        <v>744707.2319565455</v>
      </c>
    </row>
    <row r="192" spans="1:10">
      <c r="A192" s="32" t="s">
        <v>59</v>
      </c>
      <c r="B192" s="39">
        <f t="shared" si="28"/>
        <v>0</v>
      </c>
      <c r="C192" s="39">
        <f t="shared" si="31"/>
        <v>1250144.501196</v>
      </c>
      <c r="D192" s="39">
        <f t="shared" si="28"/>
        <v>11959.086971999999</v>
      </c>
      <c r="E192" s="39">
        <f t="shared" si="28"/>
        <v>31393.139294999997</v>
      </c>
      <c r="F192" s="39">
        <f>($F$187*F104)*(12+1+0.27+((0.0456+0.086)*13))</f>
        <v>186710.35444799997</v>
      </c>
      <c r="G192" s="39">
        <f t="shared" ref="G192:G223" si="34">(($G$187*((0.0456+0.086)*13))*G104)*12</f>
        <v>47553.123071999995</v>
      </c>
      <c r="H192" s="39">
        <f t="shared" si="29"/>
        <v>373606.26199272723</v>
      </c>
      <c r="I192" s="39">
        <f t="shared" si="30"/>
        <v>75084.504000000001</v>
      </c>
      <c r="J192" s="39">
        <f t="shared" si="32"/>
        <v>1976450.9709757271</v>
      </c>
    </row>
    <row r="193" spans="1:11">
      <c r="A193" s="32" t="s">
        <v>60</v>
      </c>
      <c r="B193" s="39">
        <f t="shared" si="28"/>
        <v>48766</v>
      </c>
      <c r="C193" s="39">
        <f t="shared" si="31"/>
        <v>0</v>
      </c>
      <c r="D193" s="39">
        <f t="shared" si="28"/>
        <v>0</v>
      </c>
      <c r="E193" s="39">
        <f t="shared" si="28"/>
        <v>15682.863527999998</v>
      </c>
      <c r="F193" s="39">
        <f>($F$187*F105)*(12+1+0.27+((0.0456+0.086)*13))</f>
        <v>0</v>
      </c>
      <c r="G193" s="39">
        <f t="shared" si="34"/>
        <v>0</v>
      </c>
      <c r="H193" s="39">
        <f t="shared" si="29"/>
        <v>0</v>
      </c>
      <c r="I193" s="39">
        <f t="shared" si="30"/>
        <v>0</v>
      </c>
      <c r="J193" s="39">
        <f t="shared" si="32"/>
        <v>64448.863528000002</v>
      </c>
    </row>
    <row r="194" spans="1:11">
      <c r="A194" s="32" t="s">
        <v>61</v>
      </c>
      <c r="B194" s="39">
        <f t="shared" si="28"/>
        <v>0</v>
      </c>
      <c r="C194" s="39">
        <f t="shared" si="31"/>
        <v>1422363.9601169999</v>
      </c>
      <c r="D194" s="39">
        <f t="shared" si="28"/>
        <v>0</v>
      </c>
      <c r="E194" s="39">
        <f t="shared" si="28"/>
        <v>21523.967550000001</v>
      </c>
      <c r="F194" s="39">
        <f>($F$187*F106)*(12+1+0.27+((0.0456+0.086*13)))</f>
        <v>205986.81302400003</v>
      </c>
      <c r="G194" s="39">
        <f t="shared" si="34"/>
        <v>69979.45281599999</v>
      </c>
      <c r="H194" s="39">
        <f t="shared" si="29"/>
        <v>427803.70944000001</v>
      </c>
      <c r="I194" s="39">
        <f t="shared" si="30"/>
        <v>94843.583999999988</v>
      </c>
      <c r="J194" s="39">
        <f t="shared" si="32"/>
        <v>2242501.4869469996</v>
      </c>
    </row>
    <row r="195" spans="1:11">
      <c r="A195" s="32" t="s">
        <v>62</v>
      </c>
      <c r="B195" s="39">
        <f t="shared" si="28"/>
        <v>0</v>
      </c>
      <c r="C195" s="39">
        <f t="shared" si="31"/>
        <v>1897564.1585009999</v>
      </c>
      <c r="D195" s="39">
        <f t="shared" si="28"/>
        <v>0</v>
      </c>
      <c r="E195" s="39">
        <f t="shared" si="28"/>
        <v>21524.120691</v>
      </c>
      <c r="F195" s="39">
        <f>($F$187*F107)*(12+1+0.27+((0.0456+0.086)*13))</f>
        <v>310962.75753599993</v>
      </c>
      <c r="G195" s="39">
        <f t="shared" si="34"/>
        <v>58175.343407999993</v>
      </c>
      <c r="H195" s="39">
        <f t="shared" si="29"/>
        <v>622233.2479418182</v>
      </c>
      <c r="I195" s="39">
        <f t="shared" si="30"/>
        <v>114602.664</v>
      </c>
      <c r="J195" s="39">
        <f t="shared" si="32"/>
        <v>3025062.292077818</v>
      </c>
    </row>
    <row r="196" spans="1:11">
      <c r="A196" s="32" t="s">
        <v>63</v>
      </c>
      <c r="B196" s="39">
        <f t="shared" si="28"/>
        <v>0</v>
      </c>
      <c r="C196" s="39">
        <f t="shared" si="31"/>
        <v>370090.80104699999</v>
      </c>
      <c r="D196" s="39">
        <f t="shared" si="28"/>
        <v>4067.7312419999998</v>
      </c>
      <c r="E196" s="39">
        <f t="shared" si="28"/>
        <v>53592.305514</v>
      </c>
      <c r="F196" s="39">
        <f>($F$187*F108)*(12+1+0.27+((0.0456+0.086)*13))</f>
        <v>21853.092191999996</v>
      </c>
      <c r="G196" s="39">
        <f t="shared" si="34"/>
        <v>4334.6197439999996</v>
      </c>
      <c r="H196" s="39">
        <f t="shared" si="29"/>
        <v>43727.593309090909</v>
      </c>
      <c r="I196" s="39">
        <f t="shared" si="30"/>
        <v>15807.263999999999</v>
      </c>
      <c r="J196" s="39">
        <f t="shared" si="32"/>
        <v>513473.407048091</v>
      </c>
    </row>
    <row r="197" spans="1:11">
      <c r="A197" s="32" t="s">
        <v>64</v>
      </c>
      <c r="B197" s="39">
        <f t="shared" si="28"/>
        <v>0</v>
      </c>
      <c r="C197" s="39">
        <f t="shared" si="31"/>
        <v>110529.36360899999</v>
      </c>
      <c r="D197" s="39">
        <f t="shared" si="28"/>
        <v>0</v>
      </c>
      <c r="E197" s="39">
        <f t="shared" si="28"/>
        <v>6722.8899000000001</v>
      </c>
      <c r="F197" s="39">
        <f>($F$187*F109)*(12+1+0.27+((0.0456+0.086)*13))</f>
        <v>9674.900255999999</v>
      </c>
      <c r="G197" s="39">
        <f t="shared" si="34"/>
        <v>0</v>
      </c>
      <c r="H197" s="39">
        <f t="shared" si="29"/>
        <v>19359.551650909092</v>
      </c>
      <c r="I197" s="39">
        <f t="shared" si="30"/>
        <v>3951.8159999999998</v>
      </c>
      <c r="J197" s="39">
        <f t="shared" si="32"/>
        <v>150238.52141590905</v>
      </c>
      <c r="K197" s="58"/>
    </row>
    <row r="198" spans="1:11">
      <c r="A198" s="32" t="s">
        <v>65</v>
      </c>
      <c r="B198" s="39">
        <f t="shared" si="28"/>
        <v>0</v>
      </c>
      <c r="C198" s="39">
        <f t="shared" si="31"/>
        <v>4229101.1204939997</v>
      </c>
      <c r="D198" s="39">
        <f t="shared" si="28"/>
        <v>10939.167912000001</v>
      </c>
      <c r="E198" s="39">
        <f t="shared" si="28"/>
        <v>45052.703930999996</v>
      </c>
      <c r="F198" s="39">
        <f>($F$187*F110)*(12+1+0.27+((0.0456+0.086)*13))</f>
        <v>593587.38436799997</v>
      </c>
      <c r="G198" s="39">
        <f t="shared" si="34"/>
        <v>185309.81851199997</v>
      </c>
      <c r="H198" s="39">
        <f t="shared" si="29"/>
        <v>1187758.447941818</v>
      </c>
      <c r="I198" s="39">
        <f t="shared" si="30"/>
        <v>320097.09599999996</v>
      </c>
      <c r="J198" s="39">
        <f>SUM(B198:I198)</f>
        <v>6571845.7391588176</v>
      </c>
    </row>
    <row r="199" spans="1:11">
      <c r="A199" s="32" t="s">
        <v>66</v>
      </c>
      <c r="B199" s="39">
        <f t="shared" si="28"/>
        <v>161547.90000000002</v>
      </c>
      <c r="C199" s="39">
        <f t="shared" si="31"/>
        <v>0</v>
      </c>
      <c r="D199" s="39">
        <f t="shared" si="28"/>
        <v>0</v>
      </c>
      <c r="E199" s="39">
        <f t="shared" si="28"/>
        <v>51952.624827</v>
      </c>
      <c r="F199" s="39">
        <f>($F$187*F111)*(12+1+0.27+((0.0456+0.086*13)))</f>
        <v>0</v>
      </c>
      <c r="G199" s="39">
        <f t="shared" si="34"/>
        <v>0</v>
      </c>
      <c r="H199" s="39">
        <f t="shared" si="29"/>
        <v>0</v>
      </c>
      <c r="I199" s="39">
        <f t="shared" si="30"/>
        <v>0</v>
      </c>
      <c r="J199" s="39">
        <f t="shared" ref="J199:J212" si="35">SUM(B199:I199)</f>
        <v>213500.52482700002</v>
      </c>
    </row>
    <row r="200" spans="1:11">
      <c r="A200" s="32" t="s">
        <v>67</v>
      </c>
      <c r="B200" s="39">
        <f t="shared" si="28"/>
        <v>0</v>
      </c>
      <c r="C200" s="39">
        <f t="shared" si="31"/>
        <v>428611.57636499999</v>
      </c>
      <c r="D200" s="39">
        <f t="shared" si="28"/>
        <v>0</v>
      </c>
      <c r="E200" s="39">
        <f t="shared" si="28"/>
        <v>0</v>
      </c>
      <c r="F200" s="39">
        <f>($F$187*F112)*(12+1+0.27+((0.0456+0.086*13)))</f>
        <v>51153.688752000002</v>
      </c>
      <c r="G200" s="39">
        <f t="shared" si="34"/>
        <v>12336.031343999999</v>
      </c>
      <c r="H200" s="39">
        <f t="shared" si="29"/>
        <v>106238.20445090908</v>
      </c>
      <c r="I200" s="39">
        <f t="shared" si="30"/>
        <v>19759.080000000002</v>
      </c>
      <c r="J200" s="39">
        <f t="shared" si="35"/>
        <v>618098.580911909</v>
      </c>
    </row>
    <row r="201" spans="1:11">
      <c r="A201" s="32" t="s">
        <v>68</v>
      </c>
      <c r="B201" s="39">
        <f t="shared" si="28"/>
        <v>0</v>
      </c>
      <c r="C201" s="39">
        <f t="shared" si="31"/>
        <v>12671685.092339</v>
      </c>
      <c r="D201" s="39">
        <f t="shared" si="28"/>
        <v>0</v>
      </c>
      <c r="E201" s="39">
        <f t="shared" si="28"/>
        <v>0</v>
      </c>
      <c r="F201" s="39">
        <f>($F$187*F113)*(12+1+0.27+((0.0456+0.086)*13))</f>
        <v>1643031.9736799998</v>
      </c>
      <c r="G201" s="39">
        <f t="shared" si="34"/>
        <v>321439.13256</v>
      </c>
      <c r="H201" s="39">
        <f t="shared" si="29"/>
        <v>3287690.3628799994</v>
      </c>
      <c r="I201" s="39">
        <f t="shared" si="30"/>
        <v>616483.29599999997</v>
      </c>
      <c r="J201" s="39">
        <f t="shared" si="35"/>
        <v>18540329.857458998</v>
      </c>
    </row>
    <row r="202" spans="1:11">
      <c r="A202" s="32" t="s">
        <v>69</v>
      </c>
      <c r="B202" s="39">
        <f t="shared" si="28"/>
        <v>0</v>
      </c>
      <c r="C202" s="39">
        <f t="shared" si="31"/>
        <v>211887.57215099997</v>
      </c>
      <c r="D202" s="39">
        <f t="shared" si="28"/>
        <v>0</v>
      </c>
      <c r="E202" s="39">
        <f t="shared" si="28"/>
        <v>0</v>
      </c>
      <c r="F202" s="39">
        <f>($F$187*F114)*(12+1+0.27+((0.0456+0.086)*13))</f>
        <v>25206.544271999992</v>
      </c>
      <c r="G202" s="39">
        <f t="shared" si="34"/>
        <v>5906.5712159999985</v>
      </c>
      <c r="H202" s="39">
        <f t="shared" si="29"/>
        <v>50438.446952727267</v>
      </c>
      <c r="I202" s="39">
        <f t="shared" si="30"/>
        <v>7903.6319999999996</v>
      </c>
      <c r="J202" s="39">
        <f t="shared" si="35"/>
        <v>301342.76659172721</v>
      </c>
    </row>
    <row r="203" spans="1:11">
      <c r="A203" s="32" t="s">
        <v>70</v>
      </c>
      <c r="B203" s="39">
        <f t="shared" si="28"/>
        <v>0</v>
      </c>
      <c r="C203" s="39">
        <f t="shared" si="31"/>
        <v>2302386.7235880001</v>
      </c>
      <c r="D203" s="39">
        <f t="shared" si="28"/>
        <v>0</v>
      </c>
      <c r="E203" s="39">
        <f t="shared" si="28"/>
        <v>0</v>
      </c>
      <c r="F203" s="39">
        <f>($F$187*F115)*(12+1+0.27+((0.0456+0.086*13)))</f>
        <v>260572.66752000002</v>
      </c>
      <c r="G203" s="39">
        <f t="shared" si="34"/>
        <v>49873.173167999994</v>
      </c>
      <c r="H203" s="39">
        <f t="shared" si="29"/>
        <v>541172.22993454535</v>
      </c>
      <c r="I203" s="39">
        <f t="shared" si="30"/>
        <v>118554.48</v>
      </c>
      <c r="J203" s="39">
        <f t="shared" si="35"/>
        <v>3272559.2742105452</v>
      </c>
    </row>
    <row r="204" spans="1:11">
      <c r="A204" s="32" t="s">
        <v>71</v>
      </c>
      <c r="B204" s="39">
        <f t="shared" si="28"/>
        <v>0</v>
      </c>
      <c r="C204" s="39">
        <f t="shared" si="31"/>
        <v>2777174.6645649998</v>
      </c>
      <c r="D204" s="39">
        <f t="shared" si="28"/>
        <v>6878.271358</v>
      </c>
      <c r="E204" s="39">
        <f t="shared" si="28"/>
        <v>18055.599302999999</v>
      </c>
      <c r="F204" s="39">
        <f>($F$187*F116)*(12+1+0.27+((0.0456+0.086*13)))</f>
        <v>357113.38881600002</v>
      </c>
      <c r="G204" s="39">
        <f t="shared" si="34"/>
        <v>65634.362975999989</v>
      </c>
      <c r="H204" s="39">
        <f t="shared" si="29"/>
        <v>741672.89652363642</v>
      </c>
      <c r="I204" s="39">
        <f t="shared" si="30"/>
        <v>130409.928</v>
      </c>
      <c r="J204" s="39">
        <f t="shared" si="35"/>
        <v>4096939.1115416363</v>
      </c>
    </row>
    <row r="205" spans="1:11">
      <c r="A205" s="32" t="s">
        <v>72</v>
      </c>
      <c r="B205" s="39">
        <f t="shared" ref="B205:E220" si="36">B24*B117</f>
        <v>0</v>
      </c>
      <c r="C205" s="39">
        <f t="shared" si="31"/>
        <v>86799.553094999996</v>
      </c>
      <c r="D205" s="39">
        <f t="shared" si="36"/>
        <v>0</v>
      </c>
      <c r="E205" s="39">
        <f t="shared" si="36"/>
        <v>0</v>
      </c>
      <c r="F205" s="39">
        <f>($F$187*F117)*(12+1+0.27+((0.0456+0.086*13)))</f>
        <v>11765.54904</v>
      </c>
      <c r="G205" s="39">
        <f t="shared" si="34"/>
        <v>4901.4419999999991</v>
      </c>
      <c r="H205" s="39">
        <f t="shared" si="29"/>
        <v>24435.04669090909</v>
      </c>
      <c r="I205" s="39">
        <f t="shared" si="30"/>
        <v>7903.6319999999996</v>
      </c>
      <c r="J205" s="39">
        <f t="shared" si="35"/>
        <v>135805.22282590909</v>
      </c>
    </row>
    <row r="206" spans="1:11">
      <c r="A206" s="32" t="s">
        <v>73</v>
      </c>
      <c r="B206" s="39">
        <f t="shared" si="36"/>
        <v>0</v>
      </c>
      <c r="C206" s="39">
        <f t="shared" si="31"/>
        <v>1096249.4349120001</v>
      </c>
      <c r="D206" s="39">
        <f t="shared" si="36"/>
        <v>0</v>
      </c>
      <c r="E206" s="39">
        <f t="shared" si="36"/>
        <v>0</v>
      </c>
      <c r="F206" s="39">
        <f>($F$187*F118)*(12+1+0.27+((0.0456+0.086)*13))</f>
        <v>154917.80107199997</v>
      </c>
      <c r="G206" s="39">
        <f t="shared" si="34"/>
        <v>48490.709903999988</v>
      </c>
      <c r="H206" s="39">
        <f t="shared" si="29"/>
        <v>309987.07165090909</v>
      </c>
      <c r="I206" s="39">
        <f t="shared" si="30"/>
        <v>118554.48</v>
      </c>
      <c r="J206" s="39">
        <f t="shared" si="35"/>
        <v>1728199.4975389091</v>
      </c>
    </row>
    <row r="207" spans="1:11">
      <c r="A207" s="32" t="s">
        <v>74</v>
      </c>
      <c r="B207" s="39">
        <f t="shared" si="36"/>
        <v>0</v>
      </c>
      <c r="C207" s="39">
        <f t="shared" si="31"/>
        <v>805305.57804900012</v>
      </c>
      <c r="D207" s="39">
        <f t="shared" si="36"/>
        <v>2992.9877040000001</v>
      </c>
      <c r="E207" s="39">
        <f t="shared" si="36"/>
        <v>7857.0521459999991</v>
      </c>
      <c r="F207" s="39">
        <f>($F$187*F119)*(12+1+0.27+((0.0456+0.086*13)))</f>
        <v>96487.17263999999</v>
      </c>
      <c r="G207" s="39">
        <f t="shared" si="34"/>
        <v>35092.477055999996</v>
      </c>
      <c r="H207" s="39">
        <f t="shared" si="29"/>
        <v>200390.26263272724</v>
      </c>
      <c r="I207" s="39">
        <f t="shared" si="30"/>
        <v>82988.135999999984</v>
      </c>
      <c r="J207" s="39">
        <f t="shared" si="35"/>
        <v>1231113.6662277272</v>
      </c>
    </row>
    <row r="208" spans="1:11">
      <c r="A208" s="32" t="s">
        <v>75</v>
      </c>
      <c r="B208" s="39">
        <f t="shared" si="36"/>
        <v>0</v>
      </c>
      <c r="C208" s="39">
        <f t="shared" si="31"/>
        <v>3111712.2550829998</v>
      </c>
      <c r="D208" s="39">
        <f t="shared" si="36"/>
        <v>0</v>
      </c>
      <c r="E208" s="39">
        <f t="shared" si="36"/>
        <v>0</v>
      </c>
      <c r="F208" s="39">
        <f t="shared" ref="F208:F243" si="37">($F$187*F120)*(12+1+0.27+((0.0456+0.086)*13))</f>
        <v>509779.84550399991</v>
      </c>
      <c r="G208" s="39">
        <f t="shared" si="34"/>
        <v>119702.96519999998</v>
      </c>
      <c r="H208" s="39">
        <f t="shared" si="29"/>
        <v>1020060.6489599999</v>
      </c>
      <c r="I208" s="39">
        <f t="shared" si="30"/>
        <v>256868.04</v>
      </c>
      <c r="J208" s="39">
        <f t="shared" si="35"/>
        <v>5018123.7547469996</v>
      </c>
    </row>
    <row r="209" spans="1:10">
      <c r="A209" s="32" t="s">
        <v>76</v>
      </c>
      <c r="B209" s="39">
        <f t="shared" si="36"/>
        <v>210639.4</v>
      </c>
      <c r="C209" s="39">
        <f t="shared" si="31"/>
        <v>0</v>
      </c>
      <c r="D209" s="39">
        <f t="shared" si="36"/>
        <v>0</v>
      </c>
      <c r="E209" s="39">
        <f t="shared" si="36"/>
        <v>67738.705388999995</v>
      </c>
      <c r="F209" s="39">
        <f t="shared" si="37"/>
        <v>0</v>
      </c>
      <c r="G209" s="39">
        <f t="shared" si="34"/>
        <v>0</v>
      </c>
      <c r="H209" s="39">
        <f t="shared" si="29"/>
        <v>0</v>
      </c>
      <c r="I209" s="39">
        <f t="shared" si="30"/>
        <v>0</v>
      </c>
      <c r="J209" s="39">
        <f t="shared" si="35"/>
        <v>278378.10538899997</v>
      </c>
    </row>
    <row r="210" spans="1:10">
      <c r="A210" s="32" t="s">
        <v>77</v>
      </c>
      <c r="B210" s="39">
        <f t="shared" si="36"/>
        <v>929867.2</v>
      </c>
      <c r="C210" s="39">
        <f t="shared" si="31"/>
        <v>0</v>
      </c>
      <c r="D210" s="39">
        <f t="shared" si="36"/>
        <v>0</v>
      </c>
      <c r="E210" s="39">
        <f t="shared" si="36"/>
        <v>356660.78119000001</v>
      </c>
      <c r="F210" s="39">
        <f t="shared" si="37"/>
        <v>0</v>
      </c>
      <c r="G210" s="39">
        <f t="shared" si="34"/>
        <v>0</v>
      </c>
      <c r="H210" s="39">
        <f t="shared" si="29"/>
        <v>0</v>
      </c>
      <c r="I210" s="39">
        <f t="shared" si="30"/>
        <v>0</v>
      </c>
      <c r="J210" s="39">
        <f t="shared" si="35"/>
        <v>1286527.98119</v>
      </c>
    </row>
    <row r="211" spans="1:10">
      <c r="A211" s="32" t="s">
        <v>78</v>
      </c>
      <c r="B211" s="39">
        <f t="shared" si="36"/>
        <v>0</v>
      </c>
      <c r="C211" s="39">
        <f t="shared" si="31"/>
        <v>230345.656881</v>
      </c>
      <c r="D211" s="39">
        <f t="shared" si="36"/>
        <v>0</v>
      </c>
      <c r="E211" s="39">
        <f t="shared" si="36"/>
        <v>0</v>
      </c>
      <c r="F211" s="39">
        <f t="shared" si="37"/>
        <v>39948.100895999996</v>
      </c>
      <c r="G211" s="39">
        <f t="shared" si="34"/>
        <v>12350.607359999998</v>
      </c>
      <c r="H211" s="39">
        <f t="shared" si="29"/>
        <v>79934.825018181815</v>
      </c>
      <c r="I211" s="39">
        <f t="shared" si="30"/>
        <v>35566.343999999997</v>
      </c>
      <c r="J211" s="39">
        <f t="shared" si="35"/>
        <v>398145.53415518184</v>
      </c>
    </row>
    <row r="212" spans="1:10">
      <c r="A212" s="32" t="s">
        <v>79</v>
      </c>
      <c r="B212" s="39">
        <f t="shared" si="36"/>
        <v>53944.1</v>
      </c>
      <c r="C212" s="39">
        <f t="shared" si="31"/>
        <v>0</v>
      </c>
      <c r="D212" s="39">
        <f t="shared" si="36"/>
        <v>0</v>
      </c>
      <c r="E212" s="39">
        <f t="shared" si="36"/>
        <v>17347.812480000001</v>
      </c>
      <c r="F212" s="39">
        <f t="shared" si="37"/>
        <v>0</v>
      </c>
      <c r="G212" s="39">
        <f t="shared" si="34"/>
        <v>0</v>
      </c>
      <c r="H212" s="39">
        <f t="shared" si="29"/>
        <v>0</v>
      </c>
      <c r="I212" s="39">
        <f t="shared" si="30"/>
        <v>0</v>
      </c>
      <c r="J212" s="39">
        <f t="shared" si="35"/>
        <v>71291.912479999999</v>
      </c>
    </row>
    <row r="213" spans="1:10">
      <c r="A213" s="32" t="s">
        <v>80</v>
      </c>
      <c r="B213" s="39">
        <f t="shared" si="36"/>
        <v>0</v>
      </c>
      <c r="C213" s="39">
        <f t="shared" si="31"/>
        <v>1411546.1063550001</v>
      </c>
      <c r="D213" s="39">
        <f t="shared" si="36"/>
        <v>0</v>
      </c>
      <c r="E213" s="39">
        <f t="shared" si="36"/>
        <v>0</v>
      </c>
      <c r="F213" s="39">
        <f t="shared" si="37"/>
        <v>180489.72705599997</v>
      </c>
      <c r="G213" s="39">
        <f t="shared" si="34"/>
        <v>35615.160671999998</v>
      </c>
      <c r="H213" s="39">
        <f t="shared" si="29"/>
        <v>361158.03432727273</v>
      </c>
      <c r="I213" s="39">
        <f t="shared" si="30"/>
        <v>67180.872000000003</v>
      </c>
      <c r="J213" s="39">
        <f>SUM(B213:I213)</f>
        <v>2055989.9004102726</v>
      </c>
    </row>
    <row r="214" spans="1:10">
      <c r="A214" s="32" t="s">
        <v>81</v>
      </c>
      <c r="B214" s="39">
        <f t="shared" si="36"/>
        <v>0</v>
      </c>
      <c r="C214" s="39">
        <f t="shared" si="31"/>
        <v>1080155.081517</v>
      </c>
      <c r="D214" s="39">
        <f t="shared" si="36"/>
        <v>0</v>
      </c>
      <c r="E214" s="39">
        <f t="shared" si="36"/>
        <v>34352.129697000004</v>
      </c>
      <c r="F214" s="39">
        <f t="shared" si="37"/>
        <v>137912.79537599997</v>
      </c>
      <c r="G214" s="39">
        <f t="shared" si="34"/>
        <v>21577.841375999997</v>
      </c>
      <c r="H214" s="39">
        <f t="shared" si="29"/>
        <v>275963.22344727273</v>
      </c>
      <c r="I214" s="39">
        <f t="shared" si="30"/>
        <v>59277.24</v>
      </c>
      <c r="J214" s="39">
        <f t="shared" ref="J214" si="38">SUM(B214:I214)</f>
        <v>1609238.3114132727</v>
      </c>
    </row>
    <row r="215" spans="1:10">
      <c r="A215" s="32" t="s">
        <v>82</v>
      </c>
      <c r="B215" s="39">
        <f t="shared" si="36"/>
        <v>0</v>
      </c>
      <c r="C215" s="39">
        <f t="shared" si="31"/>
        <v>232473.70421699999</v>
      </c>
      <c r="D215" s="39">
        <f t="shared" si="36"/>
        <v>0</v>
      </c>
      <c r="E215" s="39">
        <f t="shared" si="36"/>
        <v>0</v>
      </c>
      <c r="F215" s="39">
        <f t="shared" si="37"/>
        <v>34114.277759999997</v>
      </c>
      <c r="G215" s="39">
        <f t="shared" si="34"/>
        <v>10678.471439999998</v>
      </c>
      <c r="H215" s="39">
        <f t="shared" si="29"/>
        <v>68262.330414545446</v>
      </c>
      <c r="I215" s="39">
        <f t="shared" si="30"/>
        <v>15807.263999999999</v>
      </c>
      <c r="J215" s="39">
        <f>SUM(B215:I215)</f>
        <v>361336.04783154547</v>
      </c>
    </row>
    <row r="216" spans="1:10">
      <c r="A216" s="32" t="s">
        <v>83</v>
      </c>
      <c r="B216" s="39">
        <f t="shared" si="36"/>
        <v>0</v>
      </c>
      <c r="C216" s="39">
        <f t="shared" si="31"/>
        <v>316659.75300600001</v>
      </c>
      <c r="D216" s="39">
        <f t="shared" si="36"/>
        <v>0</v>
      </c>
      <c r="E216" s="39">
        <f t="shared" si="36"/>
        <v>0</v>
      </c>
      <c r="F216" s="39">
        <f t="shared" si="37"/>
        <v>34683.697968</v>
      </c>
      <c r="G216" s="39">
        <f t="shared" si="34"/>
        <v>12728.146703999999</v>
      </c>
      <c r="H216" s="39">
        <f t="shared" si="29"/>
        <v>69402.142312727272</v>
      </c>
      <c r="I216" s="39">
        <f t="shared" si="30"/>
        <v>11855.447999999999</v>
      </c>
      <c r="J216" s="39">
        <f>SUM(B216:I216)</f>
        <v>445329.18799072731</v>
      </c>
    </row>
    <row r="217" spans="1:10">
      <c r="A217" s="32" t="s">
        <v>84</v>
      </c>
      <c r="B217" s="39">
        <f t="shared" si="36"/>
        <v>0</v>
      </c>
      <c r="C217" s="39">
        <f t="shared" si="31"/>
        <v>1272584.5582080001</v>
      </c>
      <c r="D217" s="39">
        <f t="shared" si="36"/>
        <v>0</v>
      </c>
      <c r="E217" s="39">
        <f t="shared" si="36"/>
        <v>0</v>
      </c>
      <c r="F217" s="39">
        <f t="shared" si="37"/>
        <v>188339.21683200001</v>
      </c>
      <c r="G217" s="39">
        <f t="shared" si="34"/>
        <v>63729.626687999989</v>
      </c>
      <c r="H217" s="39">
        <f t="shared" si="29"/>
        <v>376861.36285090906</v>
      </c>
      <c r="I217" s="39">
        <f t="shared" si="30"/>
        <v>134361.74400000001</v>
      </c>
      <c r="J217" s="39">
        <f t="shared" ref="J217:J225" si="39">SUM(B217:I217)</f>
        <v>2035876.5085789093</v>
      </c>
    </row>
    <row r="218" spans="1:10">
      <c r="A218" s="32" t="s">
        <v>85</v>
      </c>
      <c r="B218" s="39">
        <f t="shared" si="36"/>
        <v>0</v>
      </c>
      <c r="C218" s="39">
        <f t="shared" si="31"/>
        <v>386306.59525499999</v>
      </c>
      <c r="D218" s="39">
        <f t="shared" si="36"/>
        <v>0</v>
      </c>
      <c r="E218" s="39">
        <f t="shared" si="36"/>
        <v>0</v>
      </c>
      <c r="F218" s="39">
        <f t="shared" si="37"/>
        <v>49077.700031999993</v>
      </c>
      <c r="G218" s="39">
        <f t="shared" si="34"/>
        <v>6743.9735999999994</v>
      </c>
      <c r="H218" s="39">
        <f t="shared" si="29"/>
        <v>98204.500770909086</v>
      </c>
      <c r="I218" s="39">
        <f t="shared" si="30"/>
        <v>15807.263999999999</v>
      </c>
      <c r="J218" s="39">
        <f t="shared" si="39"/>
        <v>556140.03365790914</v>
      </c>
    </row>
    <row r="219" spans="1:10">
      <c r="A219" s="32" t="s">
        <v>86</v>
      </c>
      <c r="B219" s="39">
        <f t="shared" si="36"/>
        <v>0</v>
      </c>
      <c r="C219" s="39">
        <f t="shared" si="31"/>
        <v>1110673.019997</v>
      </c>
      <c r="D219" s="39">
        <f t="shared" si="36"/>
        <v>0</v>
      </c>
      <c r="E219" s="39">
        <f t="shared" si="36"/>
        <v>0</v>
      </c>
      <c r="F219" s="39">
        <f t="shared" si="37"/>
        <v>178603.49452799998</v>
      </c>
      <c r="G219" s="39">
        <f t="shared" si="34"/>
        <v>47714.280431999992</v>
      </c>
      <c r="H219" s="39">
        <f t="shared" si="29"/>
        <v>357382.14638545446</v>
      </c>
      <c r="I219" s="39">
        <f t="shared" si="30"/>
        <v>63229.055999999997</v>
      </c>
      <c r="J219" s="39">
        <f t="shared" si="39"/>
        <v>1757601.9973424545</v>
      </c>
    </row>
    <row r="220" spans="1:10">
      <c r="A220" s="32" t="s">
        <v>87</v>
      </c>
      <c r="B220" s="39">
        <f t="shared" si="36"/>
        <v>0</v>
      </c>
      <c r="C220" s="39">
        <f t="shared" si="31"/>
        <v>3549959.3770260001</v>
      </c>
      <c r="D220" s="39">
        <f t="shared" si="36"/>
        <v>0</v>
      </c>
      <c r="E220" s="39">
        <f t="shared" si="36"/>
        <v>57755.749880999996</v>
      </c>
      <c r="F220" s="39">
        <f t="shared" si="37"/>
        <v>536717.12159999995</v>
      </c>
      <c r="G220" s="39">
        <f t="shared" si="34"/>
        <v>137638.44494399999</v>
      </c>
      <c r="H220" s="39">
        <f t="shared" si="29"/>
        <v>1073965.3806545453</v>
      </c>
      <c r="I220" s="39">
        <f t="shared" si="30"/>
        <v>197590.8</v>
      </c>
      <c r="J220" s="39">
        <f t="shared" si="39"/>
        <v>5553626.8741055448</v>
      </c>
    </row>
    <row r="221" spans="1:10">
      <c r="A221" s="32" t="s">
        <v>88</v>
      </c>
      <c r="B221" s="39">
        <f t="shared" ref="B221:E236" si="40">B40*B133</f>
        <v>0</v>
      </c>
      <c r="C221" s="39">
        <f t="shared" si="31"/>
        <v>112145.61372299999</v>
      </c>
      <c r="D221" s="39">
        <f t="shared" si="40"/>
        <v>0</v>
      </c>
      <c r="E221" s="39">
        <f t="shared" si="40"/>
        <v>0</v>
      </c>
      <c r="F221" s="39">
        <f t="shared" si="37"/>
        <v>17954.039375999997</v>
      </c>
      <c r="G221" s="39">
        <f t="shared" si="34"/>
        <v>6013.3251360000004</v>
      </c>
      <c r="H221" s="39">
        <f t="shared" ref="H221:H243" si="41">($H$187*H133)*(12+1+0.27+((0.0456+0.086)*13))</f>
        <v>35925.774254545453</v>
      </c>
      <c r="I221" s="39">
        <f t="shared" si="30"/>
        <v>7903.6319999999996</v>
      </c>
      <c r="J221" s="39">
        <f t="shared" si="39"/>
        <v>179942.38448954545</v>
      </c>
    </row>
    <row r="222" spans="1:10">
      <c r="A222" s="32" t="s">
        <v>89</v>
      </c>
      <c r="B222" s="39">
        <f t="shared" si="40"/>
        <v>0</v>
      </c>
      <c r="C222" s="39">
        <f t="shared" si="31"/>
        <v>139331.05090199999</v>
      </c>
      <c r="D222" s="39">
        <f t="shared" si="40"/>
        <v>0</v>
      </c>
      <c r="E222" s="39">
        <f t="shared" si="40"/>
        <v>0</v>
      </c>
      <c r="F222" s="39">
        <f t="shared" si="37"/>
        <v>19700.950463999998</v>
      </c>
      <c r="G222" s="39">
        <f t="shared" si="34"/>
        <v>7130.1353759999984</v>
      </c>
      <c r="H222" s="39">
        <f t="shared" si="41"/>
        <v>39421.475839999999</v>
      </c>
      <c r="I222" s="39">
        <f t="shared" si="30"/>
        <v>7903.6319999999996</v>
      </c>
      <c r="J222" s="39">
        <f t="shared" si="39"/>
        <v>213487.24458199998</v>
      </c>
    </row>
    <row r="223" spans="1:10">
      <c r="A223" s="32" t="s">
        <v>90</v>
      </c>
      <c r="B223" s="39">
        <f t="shared" si="40"/>
        <v>0</v>
      </c>
      <c r="C223" s="39">
        <f t="shared" si="31"/>
        <v>2230569.2630009996</v>
      </c>
      <c r="D223" s="39">
        <f t="shared" si="40"/>
        <v>0</v>
      </c>
      <c r="E223" s="39">
        <f t="shared" si="40"/>
        <v>0</v>
      </c>
      <c r="F223" s="39">
        <f t="shared" si="37"/>
        <v>359594.92857599998</v>
      </c>
      <c r="G223" s="39">
        <f t="shared" si="34"/>
        <v>45395.667407999994</v>
      </c>
      <c r="H223" s="39">
        <f t="shared" si="41"/>
        <v>719547.79839999997</v>
      </c>
      <c r="I223" s="39">
        <f t="shared" si="30"/>
        <v>86939.95199999999</v>
      </c>
      <c r="J223" s="39">
        <f t="shared" si="39"/>
        <v>3442047.6093850001</v>
      </c>
    </row>
    <row r="224" spans="1:10">
      <c r="A224" s="32" t="s">
        <v>91</v>
      </c>
      <c r="B224" s="39">
        <f t="shared" si="40"/>
        <v>0</v>
      </c>
      <c r="C224" s="39">
        <f t="shared" si="31"/>
        <v>214469.069988</v>
      </c>
      <c r="D224" s="39">
        <f t="shared" si="40"/>
        <v>0</v>
      </c>
      <c r="E224" s="39">
        <f t="shared" si="40"/>
        <v>45038.155535999998</v>
      </c>
      <c r="F224" s="39">
        <f t="shared" si="37"/>
        <v>0</v>
      </c>
      <c r="G224" s="39">
        <f t="shared" ref="G224:G243" si="42">(($G$187*((0.0456+0.086)*13))*G136)*12</f>
        <v>0</v>
      </c>
      <c r="H224" s="39">
        <f t="shared" si="41"/>
        <v>0</v>
      </c>
      <c r="I224" s="39">
        <f t="shared" si="30"/>
        <v>0</v>
      </c>
      <c r="J224" s="39">
        <f t="shared" si="39"/>
        <v>259507.22552400001</v>
      </c>
    </row>
    <row r="225" spans="1:11">
      <c r="A225" s="32" t="s">
        <v>92</v>
      </c>
      <c r="B225" s="39">
        <f t="shared" si="40"/>
        <v>0</v>
      </c>
      <c r="C225" s="39">
        <f t="shared" si="31"/>
        <v>322894.12311600003</v>
      </c>
      <c r="D225" s="39">
        <f t="shared" si="40"/>
        <v>0</v>
      </c>
      <c r="E225" s="39">
        <f t="shared" si="40"/>
        <v>0</v>
      </c>
      <c r="F225" s="39">
        <f t="shared" si="37"/>
        <v>59535.796511999994</v>
      </c>
      <c r="G225" s="39">
        <f t="shared" si="42"/>
        <v>18055.988495999998</v>
      </c>
      <c r="H225" s="39">
        <f t="shared" si="41"/>
        <v>119130.9533090909</v>
      </c>
      <c r="I225" s="39">
        <f t="shared" si="30"/>
        <v>15807.263999999999</v>
      </c>
      <c r="J225" s="39">
        <f t="shared" si="39"/>
        <v>535424.12543309084</v>
      </c>
    </row>
    <row r="226" spans="1:11">
      <c r="A226" s="32" t="s">
        <v>93</v>
      </c>
      <c r="B226" s="39">
        <f t="shared" si="40"/>
        <v>0</v>
      </c>
      <c r="C226" s="39">
        <f t="shared" si="31"/>
        <v>88625.759519999992</v>
      </c>
      <c r="D226" s="39">
        <f t="shared" si="40"/>
        <v>0</v>
      </c>
      <c r="E226" s="39">
        <f t="shared" si="40"/>
        <v>0</v>
      </c>
      <c r="F226" s="39">
        <f t="shared" si="37"/>
        <v>7301.7917279999992</v>
      </c>
      <c r="G226" s="39">
        <f t="shared" si="42"/>
        <v>0</v>
      </c>
      <c r="H226" s="39">
        <f t="shared" si="41"/>
        <v>14610.910429090907</v>
      </c>
      <c r="I226" s="39">
        <f t="shared" si="30"/>
        <v>3951.8159999999998</v>
      </c>
      <c r="J226" s="39">
        <f>SUM(B226:I226)</f>
        <v>114490.2776770909</v>
      </c>
    </row>
    <row r="227" spans="1:11">
      <c r="A227" s="32" t="s">
        <v>94</v>
      </c>
      <c r="B227" s="39">
        <f t="shared" si="40"/>
        <v>26583</v>
      </c>
      <c r="C227" s="39">
        <f t="shared" si="31"/>
        <v>0</v>
      </c>
      <c r="D227" s="39">
        <f t="shared" si="40"/>
        <v>0</v>
      </c>
      <c r="E227" s="39">
        <f t="shared" si="40"/>
        <v>8549.2494659999993</v>
      </c>
      <c r="F227" s="39">
        <f t="shared" si="37"/>
        <v>0</v>
      </c>
      <c r="G227" s="39">
        <f t="shared" si="42"/>
        <v>0</v>
      </c>
      <c r="H227" s="39">
        <f t="shared" si="41"/>
        <v>0</v>
      </c>
      <c r="I227" s="39">
        <f t="shared" si="30"/>
        <v>0</v>
      </c>
      <c r="J227" s="39">
        <f t="shared" ref="J227:J229" si="43">SUM(B227:I227)</f>
        <v>35132.249466000001</v>
      </c>
    </row>
    <row r="228" spans="1:11">
      <c r="A228" s="32" t="s">
        <v>95</v>
      </c>
      <c r="B228" s="39">
        <f t="shared" si="40"/>
        <v>0</v>
      </c>
      <c r="C228" s="39">
        <f t="shared" si="31"/>
        <v>251514.49045199997</v>
      </c>
      <c r="D228" s="39">
        <f t="shared" si="40"/>
        <v>0</v>
      </c>
      <c r="E228" s="39">
        <f t="shared" si="40"/>
        <v>0</v>
      </c>
      <c r="F228" s="39">
        <f t="shared" si="37"/>
        <v>33703.354415999995</v>
      </c>
      <c r="G228" s="39">
        <f t="shared" si="42"/>
        <v>4541.7634079999998</v>
      </c>
      <c r="H228" s="39">
        <f t="shared" si="41"/>
        <v>67440.293061818171</v>
      </c>
      <c r="I228" s="39">
        <f t="shared" si="30"/>
        <v>15807.263999999999</v>
      </c>
      <c r="J228" s="39">
        <f t="shared" si="43"/>
        <v>373007.16533781815</v>
      </c>
    </row>
    <row r="229" spans="1:11">
      <c r="A229" s="32" t="s">
        <v>96</v>
      </c>
      <c r="B229" s="39">
        <f t="shared" si="40"/>
        <v>0</v>
      </c>
      <c r="C229" s="39">
        <f t="shared" si="31"/>
        <v>283876.70599500003</v>
      </c>
      <c r="D229" s="39">
        <f t="shared" si="40"/>
        <v>0</v>
      </c>
      <c r="E229" s="39">
        <f t="shared" si="40"/>
        <v>0</v>
      </c>
      <c r="F229" s="39">
        <f t="shared" si="37"/>
        <v>40939.979663999999</v>
      </c>
      <c r="G229" s="39">
        <f t="shared" si="42"/>
        <v>15762.421584</v>
      </c>
      <c r="H229" s="39">
        <f t="shared" si="41"/>
        <v>81919.554036363639</v>
      </c>
      <c r="I229" s="39">
        <f t="shared" si="30"/>
        <v>27662.711999999996</v>
      </c>
      <c r="J229" s="39">
        <f t="shared" si="43"/>
        <v>450161.37327936367</v>
      </c>
      <c r="K229" s="38"/>
    </row>
    <row r="230" spans="1:11">
      <c r="A230" s="32" t="s">
        <v>97</v>
      </c>
      <c r="B230" s="39">
        <f t="shared" si="40"/>
        <v>0</v>
      </c>
      <c r="C230" s="39">
        <f t="shared" si="31"/>
        <v>262421.19247199997</v>
      </c>
      <c r="D230" s="39">
        <f t="shared" si="40"/>
        <v>0</v>
      </c>
      <c r="E230" s="39">
        <f t="shared" si="40"/>
        <v>0</v>
      </c>
      <c r="F230" s="39">
        <f t="shared" si="37"/>
        <v>37629.522479999992</v>
      </c>
      <c r="G230" s="39">
        <f t="shared" si="42"/>
        <v>14071.603727999998</v>
      </c>
      <c r="H230" s="39">
        <f t="shared" si="41"/>
        <v>75296.224581818184</v>
      </c>
      <c r="I230" s="39">
        <f t="shared" si="30"/>
        <v>11855.447999999999</v>
      </c>
      <c r="J230" s="39">
        <f>SUM(B230:I230)</f>
        <v>401273.9912618181</v>
      </c>
      <c r="K230" s="38"/>
    </row>
    <row r="231" spans="1:11">
      <c r="A231" s="32" t="s">
        <v>98</v>
      </c>
      <c r="B231" s="39">
        <f t="shared" si="40"/>
        <v>0</v>
      </c>
      <c r="C231" s="39">
        <f t="shared" si="31"/>
        <v>240217.89144599999</v>
      </c>
      <c r="D231" s="39">
        <f t="shared" si="40"/>
        <v>0</v>
      </c>
      <c r="E231" s="39">
        <f t="shared" si="40"/>
        <v>0</v>
      </c>
      <c r="F231" s="39">
        <f t="shared" si="37"/>
        <v>38110.106543999995</v>
      </c>
      <c r="G231" s="39">
        <f t="shared" si="42"/>
        <v>7236.2734079999991</v>
      </c>
      <c r="H231" s="39">
        <f t="shared" si="41"/>
        <v>76257.174807272735</v>
      </c>
      <c r="I231" s="39">
        <f t="shared" si="30"/>
        <v>15807.263999999999</v>
      </c>
      <c r="J231" s="39">
        <f t="shared" ref="J231:J245" si="44">SUM(B231:I231)</f>
        <v>377628.71020527277</v>
      </c>
      <c r="K231" s="38"/>
    </row>
    <row r="232" spans="1:11">
      <c r="A232" s="32" t="s">
        <v>99</v>
      </c>
      <c r="B232" s="39">
        <f t="shared" si="40"/>
        <v>67734.600000000006</v>
      </c>
      <c r="C232" s="39">
        <f t="shared" si="31"/>
        <v>0</v>
      </c>
      <c r="D232" s="39">
        <f t="shared" si="40"/>
        <v>0</v>
      </c>
      <c r="E232" s="39">
        <f t="shared" si="40"/>
        <v>21783.082122</v>
      </c>
      <c r="F232" s="39">
        <f t="shared" si="37"/>
        <v>0</v>
      </c>
      <c r="G232" s="39">
        <f t="shared" si="42"/>
        <v>0</v>
      </c>
      <c r="H232" s="39">
        <f t="shared" si="41"/>
        <v>0</v>
      </c>
      <c r="I232" s="39">
        <f t="shared" si="30"/>
        <v>0</v>
      </c>
      <c r="J232" s="39">
        <f t="shared" si="44"/>
        <v>89517.682121999998</v>
      </c>
    </row>
    <row r="233" spans="1:11">
      <c r="A233" s="32" t="s">
        <v>100</v>
      </c>
      <c r="B233" s="39">
        <f t="shared" si="40"/>
        <v>0</v>
      </c>
      <c r="C233" s="39">
        <f t="shared" si="31"/>
        <v>90492.548309999998</v>
      </c>
      <c r="D233" s="39">
        <f t="shared" si="40"/>
        <v>0</v>
      </c>
      <c r="E233" s="39">
        <f t="shared" si="40"/>
        <v>0</v>
      </c>
      <c r="F233" s="39">
        <f t="shared" si="37"/>
        <v>9492.2843039999989</v>
      </c>
      <c r="G233" s="39">
        <f t="shared" si="42"/>
        <v>0</v>
      </c>
      <c r="H233" s="39">
        <f t="shared" si="41"/>
        <v>18994.201716363637</v>
      </c>
      <c r="I233" s="39">
        <f t="shared" si="30"/>
        <v>3951.8159999999998</v>
      </c>
      <c r="J233" s="39">
        <f t="shared" si="44"/>
        <v>122930.85033036364</v>
      </c>
    </row>
    <row r="234" spans="1:11">
      <c r="A234" s="32" t="s">
        <v>101</v>
      </c>
      <c r="B234" s="39">
        <f t="shared" si="40"/>
        <v>0</v>
      </c>
      <c r="C234" s="39">
        <f t="shared" si="31"/>
        <v>131074.607028</v>
      </c>
      <c r="D234" s="39">
        <f t="shared" si="40"/>
        <v>0</v>
      </c>
      <c r="E234" s="39">
        <f t="shared" si="40"/>
        <v>0</v>
      </c>
      <c r="F234" s="39">
        <f t="shared" si="37"/>
        <v>23647.042991999999</v>
      </c>
      <c r="G234" s="39">
        <f t="shared" si="42"/>
        <v>3923.4118559999993</v>
      </c>
      <c r="H234" s="39">
        <f t="shared" si="41"/>
        <v>47317.356159999996</v>
      </c>
      <c r="I234" s="39">
        <f t="shared" si="30"/>
        <v>3951.8159999999998</v>
      </c>
      <c r="J234" s="39">
        <f t="shared" si="44"/>
        <v>209914.23403599998</v>
      </c>
      <c r="K234" s="38"/>
    </row>
    <row r="235" spans="1:11">
      <c r="A235" s="32" t="s">
        <v>102</v>
      </c>
      <c r="B235" s="39">
        <f t="shared" si="40"/>
        <v>0</v>
      </c>
      <c r="C235" s="39">
        <f t="shared" si="31"/>
        <v>404337.263454</v>
      </c>
      <c r="D235" s="39">
        <f t="shared" si="40"/>
        <v>0</v>
      </c>
      <c r="E235" s="39">
        <f t="shared" si="40"/>
        <v>0</v>
      </c>
      <c r="F235" s="39">
        <f t="shared" si="37"/>
        <v>57276.242447999997</v>
      </c>
      <c r="G235" s="39">
        <f t="shared" si="42"/>
        <v>11653.422143999998</v>
      </c>
      <c r="H235" s="39">
        <f t="shared" si="41"/>
        <v>114609.29390545454</v>
      </c>
      <c r="I235" s="39">
        <f t="shared" si="30"/>
        <v>23710.895999999997</v>
      </c>
      <c r="J235" s="39">
        <f t="shared" si="44"/>
        <v>611587.11795145448</v>
      </c>
      <c r="K235" s="38"/>
    </row>
    <row r="236" spans="1:11">
      <c r="A236" s="32" t="s">
        <v>103</v>
      </c>
      <c r="B236" s="39">
        <f t="shared" si="40"/>
        <v>177196.19999999998</v>
      </c>
      <c r="C236" s="39">
        <f t="shared" si="31"/>
        <v>0</v>
      </c>
      <c r="D236" s="39">
        <f t="shared" si="40"/>
        <v>0</v>
      </c>
      <c r="E236" s="39">
        <f t="shared" si="40"/>
        <v>56985.756933000004</v>
      </c>
      <c r="F236" s="39">
        <f t="shared" si="37"/>
        <v>0</v>
      </c>
      <c r="G236" s="39">
        <f t="shared" si="42"/>
        <v>0</v>
      </c>
      <c r="H236" s="39">
        <f t="shared" si="41"/>
        <v>0</v>
      </c>
      <c r="I236" s="39">
        <f t="shared" si="30"/>
        <v>0</v>
      </c>
      <c r="J236" s="39">
        <f t="shared" si="44"/>
        <v>234181.95693299998</v>
      </c>
    </row>
    <row r="237" spans="1:11">
      <c r="A237" s="32" t="s">
        <v>104</v>
      </c>
      <c r="B237" s="39">
        <f t="shared" ref="B237:I245" si="45">B56*B149</f>
        <v>164321.9</v>
      </c>
      <c r="C237" s="39">
        <f t="shared" si="31"/>
        <v>0</v>
      </c>
      <c r="D237" s="39">
        <f t="shared" si="45"/>
        <v>0</v>
      </c>
      <c r="E237" s="39">
        <f t="shared" si="45"/>
        <v>52844.977433999993</v>
      </c>
      <c r="F237" s="39">
        <f t="shared" si="37"/>
        <v>0</v>
      </c>
      <c r="G237" s="39">
        <f t="shared" si="42"/>
        <v>0</v>
      </c>
      <c r="H237" s="39">
        <f t="shared" si="41"/>
        <v>0</v>
      </c>
      <c r="I237" s="39">
        <f t="shared" si="30"/>
        <v>0</v>
      </c>
      <c r="J237" s="39">
        <f t="shared" si="44"/>
        <v>217166.87743399999</v>
      </c>
    </row>
    <row r="238" spans="1:11">
      <c r="A238" s="32" t="s">
        <v>105</v>
      </c>
      <c r="B238" s="39">
        <f t="shared" si="45"/>
        <v>0</v>
      </c>
      <c r="C238" s="39">
        <f t="shared" si="31"/>
        <v>247514.14124999999</v>
      </c>
      <c r="D238" s="39">
        <f t="shared" si="45"/>
        <v>19801.131300000001</v>
      </c>
      <c r="E238" s="39">
        <f t="shared" si="45"/>
        <v>51980.496488999997</v>
      </c>
      <c r="F238" s="39">
        <f t="shared" si="37"/>
        <v>0</v>
      </c>
      <c r="G238" s="39">
        <f t="shared" si="42"/>
        <v>0</v>
      </c>
      <c r="H238" s="39">
        <f t="shared" si="41"/>
        <v>0</v>
      </c>
      <c r="I238" s="39">
        <f t="shared" si="30"/>
        <v>0</v>
      </c>
      <c r="J238" s="39">
        <f t="shared" si="44"/>
        <v>319295.76903899998</v>
      </c>
    </row>
    <row r="239" spans="1:11">
      <c r="A239" s="32" t="s">
        <v>106</v>
      </c>
      <c r="B239" s="39">
        <f t="shared" si="45"/>
        <v>0</v>
      </c>
      <c r="C239" s="39">
        <f t="shared" si="31"/>
        <v>2045093.1534149998</v>
      </c>
      <c r="D239" s="39">
        <f t="shared" si="45"/>
        <v>5842.4822909999993</v>
      </c>
      <c r="E239" s="39">
        <f t="shared" si="45"/>
        <v>136527.19233299998</v>
      </c>
      <c r="F239" s="39">
        <f t="shared" si="37"/>
        <v>206458.04500799999</v>
      </c>
      <c r="G239" s="39">
        <f t="shared" si="42"/>
        <v>41923.290863999995</v>
      </c>
      <c r="H239" s="39">
        <f t="shared" si="41"/>
        <v>413120.70958545449</v>
      </c>
      <c r="I239" s="39">
        <f t="shared" si="30"/>
        <v>82988.135999999984</v>
      </c>
      <c r="J239" s="39">
        <f t="shared" si="44"/>
        <v>2931953.0094964541</v>
      </c>
    </row>
    <row r="240" spans="1:11">
      <c r="A240" s="32" t="s">
        <v>107</v>
      </c>
      <c r="B240" s="39">
        <f t="shared" si="45"/>
        <v>11559.300000000001</v>
      </c>
      <c r="C240" s="39">
        <f t="shared" si="31"/>
        <v>0</v>
      </c>
      <c r="D240" s="39">
        <f t="shared" si="45"/>
        <v>0</v>
      </c>
      <c r="E240" s="39">
        <f t="shared" si="45"/>
        <v>3717.1914929999998</v>
      </c>
      <c r="F240" s="39">
        <f t="shared" si="37"/>
        <v>0</v>
      </c>
      <c r="G240" s="39">
        <f t="shared" si="42"/>
        <v>0</v>
      </c>
      <c r="H240" s="39">
        <f t="shared" si="41"/>
        <v>0</v>
      </c>
      <c r="I240" s="39">
        <f t="shared" si="30"/>
        <v>0</v>
      </c>
      <c r="J240" s="39">
        <f t="shared" si="44"/>
        <v>15276.491493000001</v>
      </c>
    </row>
    <row r="241" spans="1:11">
      <c r="A241" s="32" t="s">
        <v>108</v>
      </c>
      <c r="B241" s="39">
        <f t="shared" si="45"/>
        <v>0</v>
      </c>
      <c r="C241" s="39">
        <f t="shared" si="31"/>
        <v>27301.058634000001</v>
      </c>
      <c r="D241" s="39">
        <f t="shared" si="45"/>
        <v>0</v>
      </c>
      <c r="E241" s="39">
        <f t="shared" si="45"/>
        <v>0</v>
      </c>
      <c r="F241" s="39">
        <f t="shared" si="37"/>
        <v>5338.7076959999995</v>
      </c>
      <c r="G241" s="39">
        <f t="shared" si="42"/>
        <v>1463.7604799999999</v>
      </c>
      <c r="H241" s="39">
        <f t="shared" si="41"/>
        <v>10682.672290909089</v>
      </c>
      <c r="I241" s="39">
        <f t="shared" si="30"/>
        <v>3951.8159999999998</v>
      </c>
      <c r="J241" s="39">
        <f t="shared" si="44"/>
        <v>48738.015100909084</v>
      </c>
    </row>
    <row r="242" spans="1:11">
      <c r="A242" s="32" t="s">
        <v>109</v>
      </c>
      <c r="B242" s="39">
        <f t="shared" si="45"/>
        <v>35355.300000000003</v>
      </c>
      <c r="C242" s="39">
        <f t="shared" si="31"/>
        <v>0</v>
      </c>
      <c r="D242" s="39">
        <f t="shared" si="45"/>
        <v>0</v>
      </c>
      <c r="E242" s="39">
        <f t="shared" si="45"/>
        <v>11370.259827</v>
      </c>
      <c r="F242" s="39">
        <f t="shared" si="37"/>
        <v>0</v>
      </c>
      <c r="G242" s="39">
        <f t="shared" si="42"/>
        <v>0</v>
      </c>
      <c r="H242" s="39">
        <f t="shared" si="41"/>
        <v>0</v>
      </c>
      <c r="I242" s="39">
        <f t="shared" si="30"/>
        <v>0</v>
      </c>
      <c r="J242" s="39">
        <f t="shared" si="44"/>
        <v>46725.559827000005</v>
      </c>
    </row>
    <row r="243" spans="1:11" ht="11.25">
      <c r="A243" s="33" t="s">
        <v>110</v>
      </c>
      <c r="B243" s="39">
        <f t="shared" si="45"/>
        <v>0</v>
      </c>
      <c r="C243" s="39">
        <f t="shared" si="31"/>
        <v>736419.2340060001</v>
      </c>
      <c r="D243" s="39">
        <f t="shared" si="45"/>
        <v>0</v>
      </c>
      <c r="E243" s="39">
        <f t="shared" si="45"/>
        <v>10891.694202000001</v>
      </c>
      <c r="F243" s="39">
        <f t="shared" si="37"/>
        <v>97367.260175999996</v>
      </c>
      <c r="G243" s="39">
        <f t="shared" si="42"/>
        <v>24903.225983999997</v>
      </c>
      <c r="H243" s="39">
        <f t="shared" si="41"/>
        <v>194831.75028363636</v>
      </c>
      <c r="I243" s="39">
        <f t="shared" si="30"/>
        <v>35566.343999999997</v>
      </c>
      <c r="J243" s="39">
        <f t="shared" si="44"/>
        <v>1099979.5086516365</v>
      </c>
    </row>
    <row r="244" spans="1:11">
      <c r="A244" s="32" t="s">
        <v>111</v>
      </c>
      <c r="B244" s="39">
        <f t="shared" si="45"/>
        <v>0</v>
      </c>
      <c r="C244" s="39">
        <f t="shared" si="31"/>
        <v>19652.451936000001</v>
      </c>
      <c r="D244" s="39">
        <f t="shared" si="45"/>
        <v>0</v>
      </c>
      <c r="E244" s="39">
        <f t="shared" si="45"/>
        <v>0</v>
      </c>
      <c r="F244" s="39">
        <f>F63*F156</f>
        <v>0</v>
      </c>
      <c r="G244" s="39">
        <f>G63*G156</f>
        <v>0</v>
      </c>
      <c r="H244" s="39">
        <f>H63*H156</f>
        <v>0</v>
      </c>
      <c r="I244" s="39">
        <f t="shared" si="45"/>
        <v>0</v>
      </c>
      <c r="J244" s="39">
        <f t="shared" si="44"/>
        <v>19652.451936000001</v>
      </c>
    </row>
    <row r="245" spans="1:11">
      <c r="A245" s="32" t="s">
        <v>112</v>
      </c>
      <c r="B245" s="39">
        <f t="shared" si="45"/>
        <v>0</v>
      </c>
      <c r="C245" s="39">
        <f>(B64-J157)*C157</f>
        <v>0</v>
      </c>
      <c r="D245" s="39">
        <f t="shared" si="45"/>
        <v>0</v>
      </c>
      <c r="E245" s="39">
        <f t="shared" si="45"/>
        <v>0</v>
      </c>
      <c r="F245" s="39">
        <f t="shared" si="45"/>
        <v>0</v>
      </c>
      <c r="G245" s="39">
        <f>(G64*G157)*12</f>
        <v>880641.72</v>
      </c>
      <c r="H245" s="39">
        <f t="shared" si="45"/>
        <v>0</v>
      </c>
      <c r="I245" s="39">
        <f t="shared" si="45"/>
        <v>0</v>
      </c>
      <c r="J245" s="39">
        <f t="shared" si="44"/>
        <v>880641.72</v>
      </c>
    </row>
    <row r="246" spans="1:11">
      <c r="A246" s="53" t="s">
        <v>115</v>
      </c>
      <c r="B246" s="42">
        <f>SUM(B189:B245)</f>
        <v>1983642.1</v>
      </c>
      <c r="C246" s="42">
        <f>SUM(C189:C245)</f>
        <v>52282484.664324015</v>
      </c>
      <c r="D246" s="42">
        <f t="shared" ref="D246:I246" si="46">SUM(D189:D245)</f>
        <v>84616.777765000006</v>
      </c>
      <c r="E246" s="42">
        <f t="shared" si="46"/>
        <v>1395622.4342379998</v>
      </c>
      <c r="F246" s="42">
        <f>SUM(F189:F245)</f>
        <v>7026926.6402400006</v>
      </c>
      <c r="G246" s="42">
        <f t="shared" si="46"/>
        <v>2479291.2319200002</v>
      </c>
      <c r="H246" s="42">
        <f>SUM(H189:H245)</f>
        <v>14135379.888290906</v>
      </c>
      <c r="I246" s="42">
        <f t="shared" si="46"/>
        <v>2999428.3440000005</v>
      </c>
      <c r="J246" s="42">
        <f>SUM(J189:J245)</f>
        <v>82387392.080777913</v>
      </c>
    </row>
    <row r="248" spans="1:11">
      <c r="A248" s="36" t="s">
        <v>114</v>
      </c>
      <c r="B248" s="36" t="s">
        <v>47</v>
      </c>
      <c r="C248" s="51" t="s">
        <v>48</v>
      </c>
      <c r="D248" s="51" t="s">
        <v>49</v>
      </c>
      <c r="E248" s="36" t="s">
        <v>50</v>
      </c>
      <c r="F248" s="36" t="s">
        <v>51</v>
      </c>
      <c r="G248" s="36" t="s">
        <v>52</v>
      </c>
      <c r="H248" s="36" t="s">
        <v>53</v>
      </c>
      <c r="I248" s="36" t="s">
        <v>54</v>
      </c>
      <c r="J248" s="52" t="s">
        <v>115</v>
      </c>
    </row>
    <row r="249" spans="1:11">
      <c r="A249" s="52" t="s">
        <v>116</v>
      </c>
      <c r="B249" s="32"/>
      <c r="C249" s="39">
        <f>(12+1+0.27+((0.0456+0.086)*13))*C72</f>
        <v>3218939.4767999998</v>
      </c>
      <c r="D249" s="39">
        <f t="shared" ref="D249:E250" si="47">D158*D72</f>
        <v>0</v>
      </c>
      <c r="E249" s="39">
        <f t="shared" si="47"/>
        <v>0</v>
      </c>
      <c r="F249" s="39">
        <f>($F$187*F158)*(12+1+0.27+((0.0456+0.086)*13))</f>
        <v>120430.95081600001</v>
      </c>
      <c r="G249" s="39">
        <f>(($G$187*((0.0456+0.086)*12))*G158)*12</f>
        <v>112141.07654400001</v>
      </c>
      <c r="H249" s="39">
        <f>($H$187*H158)*(12+1+0.27+((0.0456+0.086)*13))</f>
        <v>240985.14367999998</v>
      </c>
      <c r="I249" s="39">
        <f>I158*I72</f>
        <v>0</v>
      </c>
      <c r="J249" s="39">
        <f>SUM(B249:I249)</f>
        <v>3692496.6478399998</v>
      </c>
    </row>
    <row r="250" spans="1:11">
      <c r="A250" s="36" t="s">
        <v>117</v>
      </c>
      <c r="B250" s="32"/>
      <c r="C250" s="39">
        <f>(12+1+0.27+((0.0456+0.086)*13))*C73</f>
        <v>24743733.578927997</v>
      </c>
      <c r="D250" s="39">
        <f t="shared" si="47"/>
        <v>0</v>
      </c>
      <c r="E250" s="39">
        <f t="shared" si="47"/>
        <v>0</v>
      </c>
      <c r="F250" s="39">
        <f>($F$187*F159)*(12+1+0.27+((0.0456+0.086)*13))</f>
        <v>1967059.18728</v>
      </c>
      <c r="G250" s="39">
        <f>(($G$187*((0.0456+0.086)*12)*G159)*12)</f>
        <v>899415.92563200009</v>
      </c>
      <c r="H250" s="39">
        <f>($H$187*H159)*(12+1+0.27+((0.0456+0.086)*13))</f>
        <v>3936107.8701963634</v>
      </c>
      <c r="I250" s="39">
        <f>I159*I73</f>
        <v>0</v>
      </c>
      <c r="J250" s="39">
        <f t="shared" ref="J250" si="48">SUM(B250:I250)</f>
        <v>31546316.562036362</v>
      </c>
    </row>
    <row r="251" spans="1:11">
      <c r="A251" s="32"/>
      <c r="B251" s="32"/>
      <c r="C251" s="39">
        <f>SUM(C249:C250)</f>
        <v>27962673.055727996</v>
      </c>
      <c r="D251" s="60">
        <f t="shared" ref="D251:I251" si="49">SUM(D249:D250)</f>
        <v>0</v>
      </c>
      <c r="E251" s="60">
        <f t="shared" si="49"/>
        <v>0</v>
      </c>
      <c r="F251" s="39">
        <f>SUM(F249:F250)</f>
        <v>2087490.1380960001</v>
      </c>
      <c r="G251" s="39">
        <f t="shared" si="49"/>
        <v>1011557.002176</v>
      </c>
      <c r="H251" s="39">
        <f t="shared" si="49"/>
        <v>4177093.0138763636</v>
      </c>
      <c r="I251" s="60">
        <f t="shared" si="49"/>
        <v>0</v>
      </c>
      <c r="J251" s="39">
        <f>SUM(J249:J250)</f>
        <v>35238813.209876359</v>
      </c>
    </row>
    <row r="252" spans="1:11">
      <c r="A252" s="61" t="s">
        <v>119</v>
      </c>
      <c r="B252" s="35"/>
      <c r="C252" s="62"/>
      <c r="D252" s="62"/>
      <c r="E252" s="69" t="s">
        <v>147</v>
      </c>
      <c r="F252" s="63">
        <f>J253-[2]Simul!J257</f>
        <v>8141996.4677432775</v>
      </c>
      <c r="G252" s="35"/>
      <c r="H252" s="69"/>
      <c r="I252" s="63"/>
      <c r="J252" s="63">
        <f>J246+J251</f>
        <v>117626205.29065427</v>
      </c>
    </row>
    <row r="253" spans="1:11">
      <c r="A253" s="31" t="s">
        <v>129</v>
      </c>
      <c r="I253" s="67" t="s">
        <v>130</v>
      </c>
      <c r="J253" s="38">
        <f>J252-C251</f>
        <v>89663532.234926283</v>
      </c>
      <c r="K253" s="38"/>
    </row>
    <row r="254" spans="1:11">
      <c r="F254" s="38"/>
      <c r="I254" s="100" t="s">
        <v>241</v>
      </c>
      <c r="J254" s="42">
        <v>84618339.230000004</v>
      </c>
    </row>
    <row r="255" spans="1:11">
      <c r="I255" s="100" t="s">
        <v>237</v>
      </c>
      <c r="J255" s="42">
        <v>81521535.769999996</v>
      </c>
    </row>
    <row r="256" spans="1:11">
      <c r="J256" s="38"/>
    </row>
    <row r="257" spans="1:10">
      <c r="A257" s="77" t="s">
        <v>46</v>
      </c>
      <c r="B257" s="77" t="s">
        <v>47</v>
      </c>
      <c r="C257" s="51" t="s">
        <v>48</v>
      </c>
      <c r="D257" s="51" t="s">
        <v>49</v>
      </c>
      <c r="E257" s="77" t="s">
        <v>50</v>
      </c>
      <c r="F257" s="77" t="s">
        <v>51</v>
      </c>
      <c r="G257" s="77" t="s">
        <v>52</v>
      </c>
      <c r="H257" s="77" t="s">
        <v>53</v>
      </c>
      <c r="I257" s="77" t="s">
        <v>54</v>
      </c>
      <c r="J257" s="78" t="s">
        <v>55</v>
      </c>
    </row>
    <row r="258" spans="1:10">
      <c r="A258" s="32" t="s">
        <v>56</v>
      </c>
      <c r="B258" s="68">
        <f>B189+B190</f>
        <v>96127.2</v>
      </c>
      <c r="C258" s="68">
        <f t="shared" ref="C258:I258" si="50">C189+C190</f>
        <v>1568052.353352</v>
      </c>
      <c r="D258" s="68">
        <f t="shared" si="50"/>
        <v>22135.918986000001</v>
      </c>
      <c r="E258" s="68">
        <f t="shared" si="50"/>
        <v>155337.96078600001</v>
      </c>
      <c r="F258" s="68">
        <f t="shared" si="50"/>
        <v>135481.711152</v>
      </c>
      <c r="G258" s="68">
        <f t="shared" si="50"/>
        <v>11801.645855999999</v>
      </c>
      <c r="H258" s="68">
        <f t="shared" si="50"/>
        <v>271098.54911999998</v>
      </c>
      <c r="I258" s="68">
        <f t="shared" si="50"/>
        <v>43469.975999999995</v>
      </c>
      <c r="J258" s="39">
        <f t="shared" ref="J258:J270" si="51">SUM(B258:I258)</f>
        <v>2303505.3152519995</v>
      </c>
    </row>
    <row r="259" spans="1:10">
      <c r="A259" s="32" t="s">
        <v>58</v>
      </c>
      <c r="B259" s="68">
        <f>B191</f>
        <v>0</v>
      </c>
      <c r="C259" s="68">
        <f t="shared" ref="C259:I259" si="52">C191</f>
        <v>504172.48475100001</v>
      </c>
      <c r="D259" s="68">
        <f t="shared" si="52"/>
        <v>0</v>
      </c>
      <c r="E259" s="68">
        <f t="shared" si="52"/>
        <v>33383.972295</v>
      </c>
      <c r="F259" s="68">
        <f t="shared" si="52"/>
        <v>58704.811535999994</v>
      </c>
      <c r="G259" s="68">
        <f t="shared" si="52"/>
        <v>7267.7999999999993</v>
      </c>
      <c r="H259" s="68">
        <f t="shared" si="52"/>
        <v>117467.26737454544</v>
      </c>
      <c r="I259" s="68">
        <f t="shared" si="52"/>
        <v>23710.895999999997</v>
      </c>
      <c r="J259" s="39">
        <f t="shared" si="51"/>
        <v>744707.2319565455</v>
      </c>
    </row>
    <row r="260" spans="1:10">
      <c r="A260" s="32" t="s">
        <v>37</v>
      </c>
      <c r="B260" s="68">
        <f>B192+B193</f>
        <v>48766</v>
      </c>
      <c r="C260" s="68">
        <f t="shared" ref="C260:I260" si="53">C192+C193</f>
        <v>1250144.501196</v>
      </c>
      <c r="D260" s="68">
        <f t="shared" si="53"/>
        <v>11959.086971999999</v>
      </c>
      <c r="E260" s="68">
        <f t="shared" si="53"/>
        <v>47076.002822999995</v>
      </c>
      <c r="F260" s="68">
        <f t="shared" si="53"/>
        <v>186710.35444799997</v>
      </c>
      <c r="G260" s="68">
        <f t="shared" si="53"/>
        <v>47553.123071999995</v>
      </c>
      <c r="H260" s="68">
        <f t="shared" si="53"/>
        <v>373606.26199272723</v>
      </c>
      <c r="I260" s="68">
        <f t="shared" si="53"/>
        <v>75084.504000000001</v>
      </c>
      <c r="J260" s="39">
        <f t="shared" si="51"/>
        <v>2040899.8345037273</v>
      </c>
    </row>
    <row r="261" spans="1:10">
      <c r="A261" s="32" t="s">
        <v>61</v>
      </c>
      <c r="B261" s="68">
        <f>B194</f>
        <v>0</v>
      </c>
      <c r="C261" s="68">
        <f t="shared" ref="C261:I262" si="54">C194</f>
        <v>1422363.9601169999</v>
      </c>
      <c r="D261" s="68">
        <f t="shared" si="54"/>
        <v>0</v>
      </c>
      <c r="E261" s="68">
        <f t="shared" si="54"/>
        <v>21523.967550000001</v>
      </c>
      <c r="F261" s="68">
        <f t="shared" si="54"/>
        <v>205986.81302400003</v>
      </c>
      <c r="G261" s="68">
        <f t="shared" si="54"/>
        <v>69979.45281599999</v>
      </c>
      <c r="H261" s="68">
        <f t="shared" si="54"/>
        <v>427803.70944000001</v>
      </c>
      <c r="I261" s="68">
        <f t="shared" si="54"/>
        <v>94843.583999999988</v>
      </c>
      <c r="J261" s="39">
        <f t="shared" si="51"/>
        <v>2242501.4869469996</v>
      </c>
    </row>
    <row r="262" spans="1:10">
      <c r="A262" s="32" t="s">
        <v>62</v>
      </c>
      <c r="B262" s="68">
        <f>B195</f>
        <v>0</v>
      </c>
      <c r="C262" s="68">
        <f t="shared" si="54"/>
        <v>1897564.1585009999</v>
      </c>
      <c r="D262" s="68">
        <f t="shared" si="54"/>
        <v>0</v>
      </c>
      <c r="E262" s="68">
        <f t="shared" si="54"/>
        <v>21524.120691</v>
      </c>
      <c r="F262" s="68">
        <f t="shared" si="54"/>
        <v>310962.75753599993</v>
      </c>
      <c r="G262" s="68">
        <f t="shared" si="54"/>
        <v>58175.343407999993</v>
      </c>
      <c r="H262" s="68">
        <f t="shared" si="54"/>
        <v>622233.2479418182</v>
      </c>
      <c r="I262" s="68">
        <f t="shared" si="54"/>
        <v>114602.664</v>
      </c>
      <c r="J262" s="39">
        <f t="shared" si="51"/>
        <v>3025062.292077818</v>
      </c>
    </row>
    <row r="263" spans="1:10">
      <c r="A263" s="32" t="s">
        <v>64</v>
      </c>
      <c r="B263" s="68">
        <f>B196+B197</f>
        <v>0</v>
      </c>
      <c r="C263" s="68">
        <f t="shared" ref="C263:I263" si="55">C196+C197</f>
        <v>480620.16465599998</v>
      </c>
      <c r="D263" s="68">
        <f t="shared" si="55"/>
        <v>4067.7312419999998</v>
      </c>
      <c r="E263" s="68">
        <f t="shared" si="55"/>
        <v>60315.195414000002</v>
      </c>
      <c r="F263" s="68">
        <f t="shared" si="55"/>
        <v>31527.992447999997</v>
      </c>
      <c r="G263" s="68">
        <f t="shared" si="55"/>
        <v>4334.6197439999996</v>
      </c>
      <c r="H263" s="68">
        <f t="shared" si="55"/>
        <v>63087.144960000005</v>
      </c>
      <c r="I263" s="68">
        <f t="shared" si="55"/>
        <v>19759.079999999998</v>
      </c>
      <c r="J263" s="39">
        <f t="shared" si="51"/>
        <v>663711.928464</v>
      </c>
    </row>
    <row r="264" spans="1:10">
      <c r="A264" s="32" t="s">
        <v>65</v>
      </c>
      <c r="B264" s="68">
        <f>B198+B199</f>
        <v>161547.90000000002</v>
      </c>
      <c r="C264" s="68">
        <f t="shared" ref="C264:I264" si="56">C198+C199</f>
        <v>4229101.1204939997</v>
      </c>
      <c r="D264" s="68">
        <f t="shared" si="56"/>
        <v>10939.167912000001</v>
      </c>
      <c r="E264" s="68">
        <f t="shared" si="56"/>
        <v>97005.328757999989</v>
      </c>
      <c r="F264" s="68">
        <f t="shared" si="56"/>
        <v>593587.38436799997</v>
      </c>
      <c r="G264" s="68">
        <f t="shared" si="56"/>
        <v>185309.81851199997</v>
      </c>
      <c r="H264" s="68">
        <f t="shared" si="56"/>
        <v>1187758.447941818</v>
      </c>
      <c r="I264" s="68">
        <f t="shared" si="56"/>
        <v>320097.09599999996</v>
      </c>
      <c r="J264" s="39">
        <f t="shared" si="51"/>
        <v>6785346.2639858183</v>
      </c>
    </row>
    <row r="265" spans="1:10">
      <c r="A265" s="32" t="s">
        <v>148</v>
      </c>
      <c r="B265" s="68">
        <f>SUM(B200:B214)</f>
        <v>1194450.7</v>
      </c>
      <c r="C265" s="68">
        <f t="shared" ref="C265:I265" si="57">SUM(C200:C214)</f>
        <v>26213859.2949</v>
      </c>
      <c r="D265" s="68">
        <f t="shared" si="57"/>
        <v>9871.259062000001</v>
      </c>
      <c r="E265" s="68">
        <f t="shared" si="57"/>
        <v>502012.08020500006</v>
      </c>
      <c r="F265" s="68">
        <f t="shared" si="57"/>
        <v>3468379.2546239994</v>
      </c>
      <c r="G265" s="68">
        <f t="shared" si="57"/>
        <v>732920.47483199998</v>
      </c>
      <c r="H265" s="68">
        <f t="shared" si="57"/>
        <v>6999141.25346909</v>
      </c>
      <c r="I265" s="68">
        <f t="shared" si="57"/>
        <v>1521449.16</v>
      </c>
      <c r="J265" s="39">
        <f t="shared" si="51"/>
        <v>40642083.47709208</v>
      </c>
    </row>
    <row r="266" spans="1:10">
      <c r="A266" s="32" t="s">
        <v>149</v>
      </c>
      <c r="B266" s="68">
        <f>SUM(B215:B238)</f>
        <v>435835.69999999995</v>
      </c>
      <c r="C266" s="68">
        <f t="shared" ref="C266:I266" si="58">SUM(C215:C238)</f>
        <v>11888140.728365999</v>
      </c>
      <c r="D266" s="68">
        <f t="shared" si="58"/>
        <v>19801.131300000001</v>
      </c>
      <c r="E266" s="68">
        <f t="shared" si="58"/>
        <v>294937.46786099998</v>
      </c>
      <c r="F266" s="68">
        <f t="shared" si="58"/>
        <v>1726421.548224</v>
      </c>
      <c r="G266" s="68">
        <f t="shared" si="58"/>
        <v>413016.95635200001</v>
      </c>
      <c r="H266" s="68">
        <f t="shared" si="58"/>
        <v>3454548.8738909084</v>
      </c>
      <c r="I266" s="68">
        <f t="shared" si="58"/>
        <v>663905.08799999964</v>
      </c>
      <c r="J266" s="39">
        <f t="shared" si="51"/>
        <v>18896607.493993908</v>
      </c>
    </row>
    <row r="267" spans="1:10">
      <c r="A267" s="32" t="s">
        <v>106</v>
      </c>
      <c r="B267" s="68">
        <f>SUM(B239:B242)</f>
        <v>46914.600000000006</v>
      </c>
      <c r="C267" s="68">
        <f t="shared" ref="C267:I267" si="59">SUM(C239:C242)</f>
        <v>2072394.2120489997</v>
      </c>
      <c r="D267" s="68">
        <f t="shared" si="59"/>
        <v>5842.4822909999993</v>
      </c>
      <c r="E267" s="68">
        <f t="shared" si="59"/>
        <v>151614.64365299998</v>
      </c>
      <c r="F267" s="68">
        <f t="shared" si="59"/>
        <v>211796.75270399998</v>
      </c>
      <c r="G267" s="68">
        <f t="shared" si="59"/>
        <v>43387.051343999992</v>
      </c>
      <c r="H267" s="68">
        <f t="shared" si="59"/>
        <v>423803.38187636359</v>
      </c>
      <c r="I267" s="68">
        <f t="shared" si="59"/>
        <v>86939.95199999999</v>
      </c>
      <c r="J267" s="39">
        <f t="shared" si="51"/>
        <v>3042693.0759173627</v>
      </c>
    </row>
    <row r="268" spans="1:10" ht="11.25">
      <c r="A268" s="33" t="s">
        <v>110</v>
      </c>
      <c r="B268" s="68">
        <f>SUM(B243:B243)</f>
        <v>0</v>
      </c>
      <c r="C268" s="68">
        <f t="shared" ref="C268:I268" si="60">SUM(C243:C243)</f>
        <v>736419.2340060001</v>
      </c>
      <c r="D268" s="68">
        <f t="shared" si="60"/>
        <v>0</v>
      </c>
      <c r="E268" s="68">
        <f t="shared" si="60"/>
        <v>10891.694202000001</v>
      </c>
      <c r="F268" s="68">
        <f t="shared" si="60"/>
        <v>97367.260175999996</v>
      </c>
      <c r="G268" s="68">
        <f t="shared" si="60"/>
        <v>24903.225983999997</v>
      </c>
      <c r="H268" s="68">
        <f t="shared" si="60"/>
        <v>194831.75028363636</v>
      </c>
      <c r="I268" s="68">
        <f t="shared" si="60"/>
        <v>35566.343999999997</v>
      </c>
      <c r="J268" s="39">
        <f t="shared" si="51"/>
        <v>1099979.5086516365</v>
      </c>
    </row>
    <row r="269" spans="1:10">
      <c r="A269" s="32" t="s">
        <v>150</v>
      </c>
      <c r="B269" s="68">
        <f>B244+B245</f>
        <v>0</v>
      </c>
      <c r="C269" s="68">
        <f t="shared" ref="C269:I269" si="61">C244+C245</f>
        <v>19652.451936000001</v>
      </c>
      <c r="D269" s="68">
        <f t="shared" si="61"/>
        <v>0</v>
      </c>
      <c r="E269" s="68">
        <f t="shared" si="61"/>
        <v>0</v>
      </c>
      <c r="F269" s="68">
        <f t="shared" si="61"/>
        <v>0</v>
      </c>
      <c r="G269" s="68">
        <f t="shared" si="61"/>
        <v>880641.72</v>
      </c>
      <c r="H269" s="68">
        <f t="shared" si="61"/>
        <v>0</v>
      </c>
      <c r="I269" s="68">
        <f t="shared" si="61"/>
        <v>0</v>
      </c>
      <c r="J269" s="39">
        <f t="shared" si="51"/>
        <v>900294.171936</v>
      </c>
    </row>
    <row r="270" spans="1:10">
      <c r="A270" s="32" t="s">
        <v>51</v>
      </c>
      <c r="B270" s="68">
        <f>SUM(B249:B250)</f>
        <v>0</v>
      </c>
      <c r="C270" s="68">
        <f t="shared" ref="C270:I270" si="62">SUM(C249:C250)</f>
        <v>27962673.055727996</v>
      </c>
      <c r="D270" s="68">
        <f t="shared" si="62"/>
        <v>0</v>
      </c>
      <c r="E270" s="68">
        <f t="shared" si="62"/>
        <v>0</v>
      </c>
      <c r="F270" s="68">
        <f t="shared" si="62"/>
        <v>2087490.1380960001</v>
      </c>
      <c r="G270" s="68">
        <f t="shared" si="62"/>
        <v>1011557.002176</v>
      </c>
      <c r="H270" s="68">
        <f t="shared" si="62"/>
        <v>4177093.0138763636</v>
      </c>
      <c r="I270" s="68">
        <f t="shared" si="62"/>
        <v>0</v>
      </c>
      <c r="J270" s="39">
        <f t="shared" si="51"/>
        <v>35238813.209876359</v>
      </c>
    </row>
    <row r="271" spans="1:10">
      <c r="A271" s="32" t="s">
        <v>52</v>
      </c>
      <c r="B271" s="32"/>
      <c r="C271" s="39"/>
      <c r="D271" s="39"/>
      <c r="E271" s="32"/>
      <c r="F271" s="32"/>
      <c r="G271" s="32"/>
      <c r="H271" s="32"/>
      <c r="I271" s="32"/>
      <c r="J271" s="39">
        <f>SUM(B271:I271)</f>
        <v>0</v>
      </c>
    </row>
    <row r="272" spans="1:10">
      <c r="A272" s="32" t="s">
        <v>151</v>
      </c>
      <c r="B272" s="32"/>
      <c r="C272" s="39"/>
      <c r="D272" s="39"/>
      <c r="E272" s="32"/>
      <c r="F272" s="32"/>
      <c r="G272" s="32"/>
      <c r="H272" s="32"/>
      <c r="I272" s="32"/>
      <c r="J272" s="39">
        <f>SUM(B272:I272)</f>
        <v>0</v>
      </c>
    </row>
    <row r="273" spans="1:10">
      <c r="A273" s="59" t="s">
        <v>152</v>
      </c>
      <c r="B273" s="68">
        <f>SUM(B258:B271)</f>
        <v>1983642.1</v>
      </c>
      <c r="C273" s="68">
        <f>SUM(C258:C271)</f>
        <v>80245157.720052004</v>
      </c>
      <c r="D273" s="68">
        <f t="shared" ref="D273:I273" si="63">SUM(D258:D271)</f>
        <v>84616.777765000006</v>
      </c>
      <c r="E273" s="68">
        <f t="shared" si="63"/>
        <v>1395622.4342380001</v>
      </c>
      <c r="F273" s="68">
        <f t="shared" si="63"/>
        <v>9114416.7783359997</v>
      </c>
      <c r="G273" s="68">
        <f t="shared" si="63"/>
        <v>3490848.234096</v>
      </c>
      <c r="H273" s="68">
        <f t="shared" si="63"/>
        <v>18312472.902167272</v>
      </c>
      <c r="I273" s="68">
        <f t="shared" si="63"/>
        <v>2999428.3439999996</v>
      </c>
      <c r="J273" s="68">
        <f>SUM(J258:J271)</f>
        <v>117626205.29065427</v>
      </c>
    </row>
    <row r="275" spans="1:10">
      <c r="B275" s="34" t="s">
        <v>44</v>
      </c>
      <c r="F275" s="38"/>
    </row>
    <row r="276" spans="1:10">
      <c r="F276" s="38"/>
    </row>
    <row r="277" spans="1:10">
      <c r="F277" s="38"/>
    </row>
    <row r="278" spans="1:10">
      <c r="B278" s="34" t="s">
        <v>244</v>
      </c>
      <c r="F278" s="38"/>
    </row>
    <row r="279" spans="1:10">
      <c r="F279" s="38"/>
    </row>
    <row r="281" spans="1:10">
      <c r="B281" s="75" t="s">
        <v>163</v>
      </c>
      <c r="C281" s="75" t="s">
        <v>226</v>
      </c>
      <c r="E281" s="75" t="s">
        <v>163</v>
      </c>
      <c r="F281" s="75" t="s">
        <v>226</v>
      </c>
      <c r="H281" s="75" t="s">
        <v>163</v>
      </c>
      <c r="I281" s="75" t="s">
        <v>226</v>
      </c>
    </row>
    <row r="282" spans="1:10">
      <c r="A282" s="31">
        <v>1</v>
      </c>
      <c r="B282" s="83" t="s">
        <v>164</v>
      </c>
      <c r="C282" s="84">
        <v>56843248.450000003</v>
      </c>
      <c r="E282" s="83" t="s">
        <v>165</v>
      </c>
      <c r="F282" s="85">
        <v>7881554.1500000004</v>
      </c>
      <c r="H282" s="83" t="s">
        <v>167</v>
      </c>
      <c r="I282" s="85">
        <v>13393213.189999999</v>
      </c>
    </row>
    <row r="283" spans="1:10">
      <c r="C283" s="31"/>
      <c r="E283" s="83" t="s">
        <v>166</v>
      </c>
      <c r="F283" s="84">
        <v>25538225.289999999</v>
      </c>
      <c r="H283" s="83" t="s">
        <v>200</v>
      </c>
      <c r="I283" s="85">
        <v>1029.55</v>
      </c>
    </row>
    <row r="284" spans="1:10">
      <c r="C284" s="31"/>
      <c r="E284" s="83" t="s">
        <v>169</v>
      </c>
      <c r="F284" s="84">
        <v>708428.80000000005</v>
      </c>
      <c r="H284" s="83" t="s">
        <v>201</v>
      </c>
      <c r="I284" s="84">
        <v>407763.24</v>
      </c>
    </row>
    <row r="285" spans="1:10">
      <c r="A285" s="31">
        <v>2</v>
      </c>
      <c r="B285" s="83" t="s">
        <v>168</v>
      </c>
      <c r="C285" s="86">
        <v>41552033.469999999</v>
      </c>
      <c r="E285" s="83" t="s">
        <v>170</v>
      </c>
      <c r="F285" s="85">
        <v>1885106.21</v>
      </c>
      <c r="H285" s="83" t="s">
        <v>202</v>
      </c>
      <c r="I285" s="85">
        <v>83492.12</v>
      </c>
    </row>
    <row r="286" spans="1:10">
      <c r="C286" s="31"/>
      <c r="E286" s="83" t="s">
        <v>171</v>
      </c>
      <c r="F286" s="84">
        <v>248820.16</v>
      </c>
      <c r="H286" s="83" t="s">
        <v>203</v>
      </c>
      <c r="I286" s="84">
        <v>5.24</v>
      </c>
    </row>
    <row r="287" spans="1:10">
      <c r="A287" s="31">
        <v>3</v>
      </c>
      <c r="B287" s="83" t="s">
        <v>187</v>
      </c>
      <c r="C287" s="84">
        <v>4343603.46</v>
      </c>
      <c r="E287" s="83" t="s">
        <v>172</v>
      </c>
      <c r="F287" s="85">
        <v>15095.28</v>
      </c>
      <c r="H287" s="83" t="s">
        <v>204</v>
      </c>
      <c r="I287" s="85">
        <v>526998.13</v>
      </c>
    </row>
    <row r="288" spans="1:10">
      <c r="C288" s="31"/>
      <c r="E288" s="83" t="s">
        <v>173</v>
      </c>
      <c r="F288" s="84">
        <v>2169051.4700000002</v>
      </c>
      <c r="H288" s="83" t="s">
        <v>205</v>
      </c>
      <c r="I288" s="84">
        <v>444.73</v>
      </c>
    </row>
    <row r="289" spans="2:9">
      <c r="B289" s="83" t="s">
        <v>188</v>
      </c>
      <c r="C289" s="85">
        <v>459.16</v>
      </c>
      <c r="E289" s="89" t="s">
        <v>174</v>
      </c>
      <c r="F289" s="90">
        <v>130.77000000000001</v>
      </c>
      <c r="H289" s="83" t="s">
        <v>206</v>
      </c>
      <c r="I289" s="85">
        <v>123574.42</v>
      </c>
    </row>
    <row r="290" spans="2:9">
      <c r="B290" s="83" t="s">
        <v>189</v>
      </c>
      <c r="C290" s="84">
        <v>76.680000000000007</v>
      </c>
      <c r="E290" s="39"/>
      <c r="F290" s="32"/>
      <c r="H290" s="83" t="s">
        <v>207</v>
      </c>
      <c r="I290" s="84">
        <v>36.049999999999997</v>
      </c>
    </row>
    <row r="291" spans="2:9">
      <c r="B291" s="83" t="s">
        <v>190</v>
      </c>
      <c r="C291" s="85">
        <v>1296.7</v>
      </c>
      <c r="D291" s="31">
        <v>6</v>
      </c>
      <c r="E291" s="39" t="s">
        <v>230</v>
      </c>
      <c r="F291" s="54">
        <f>SUM(F282:F289)</f>
        <v>38446412.129999995</v>
      </c>
      <c r="H291" s="83" t="s">
        <v>208</v>
      </c>
      <c r="I291" s="85">
        <v>165443.76</v>
      </c>
    </row>
    <row r="292" spans="2:9">
      <c r="B292" s="83" t="s">
        <v>191</v>
      </c>
      <c r="C292" s="84">
        <v>5000002</v>
      </c>
      <c r="E292" s="42"/>
      <c r="H292" s="83" t="s">
        <v>209</v>
      </c>
      <c r="I292" s="84">
        <v>5.2</v>
      </c>
    </row>
    <row r="293" spans="2:9">
      <c r="B293" s="83" t="s">
        <v>192</v>
      </c>
      <c r="C293" s="85">
        <v>206.74</v>
      </c>
      <c r="E293" s="42"/>
      <c r="H293" s="83" t="s">
        <v>210</v>
      </c>
      <c r="I293" s="85">
        <v>448.37</v>
      </c>
    </row>
    <row r="294" spans="2:9">
      <c r="B294" s="83" t="s">
        <v>193</v>
      </c>
      <c r="C294" s="84">
        <v>639.71</v>
      </c>
      <c r="E294" s="83" t="s">
        <v>177</v>
      </c>
      <c r="F294" s="84">
        <v>587135.18000000005</v>
      </c>
      <c r="H294" s="83" t="s">
        <v>211</v>
      </c>
      <c r="I294" s="84">
        <v>24.92</v>
      </c>
    </row>
    <row r="295" spans="2:9">
      <c r="B295" s="83" t="s">
        <v>194</v>
      </c>
      <c r="C295" s="85">
        <v>583.28</v>
      </c>
      <c r="E295" s="83" t="s">
        <v>178</v>
      </c>
      <c r="F295" s="85">
        <v>499.28</v>
      </c>
      <c r="H295" s="83" t="s">
        <v>212</v>
      </c>
      <c r="I295" s="85">
        <v>74.89</v>
      </c>
    </row>
    <row r="296" spans="2:9">
      <c r="B296" s="83" t="s">
        <v>195</v>
      </c>
      <c r="C296" s="84">
        <v>864.74</v>
      </c>
      <c r="E296" s="89" t="s">
        <v>179</v>
      </c>
      <c r="F296" s="91">
        <v>78309.789999999994</v>
      </c>
      <c r="H296" s="83" t="s">
        <v>213</v>
      </c>
      <c r="I296" s="84">
        <v>1120.48</v>
      </c>
    </row>
    <row r="297" spans="2:9">
      <c r="B297" s="83" t="s">
        <v>196</v>
      </c>
      <c r="C297" s="85">
        <v>514.30999999999995</v>
      </c>
      <c r="D297" s="31"/>
      <c r="E297" s="32"/>
      <c r="F297" s="32"/>
      <c r="H297" s="83" t="s">
        <v>214</v>
      </c>
      <c r="I297" s="85">
        <v>4318587.5</v>
      </c>
    </row>
    <row r="298" spans="2:9">
      <c r="B298" s="83" t="s">
        <v>197</v>
      </c>
      <c r="C298" s="84">
        <v>1401.18</v>
      </c>
      <c r="D298" s="31">
        <v>7</v>
      </c>
      <c r="E298" s="39" t="s">
        <v>231</v>
      </c>
      <c r="F298" s="54">
        <f>SUM(F294:F296)</f>
        <v>665944.25000000012</v>
      </c>
      <c r="H298" s="83" t="s">
        <v>215</v>
      </c>
      <c r="I298" s="84">
        <v>728956.54</v>
      </c>
    </row>
    <row r="299" spans="2:9">
      <c r="B299" s="83" t="s">
        <v>198</v>
      </c>
      <c r="C299" s="85">
        <v>601.15</v>
      </c>
      <c r="E299" s="42"/>
      <c r="H299" s="83" t="s">
        <v>216</v>
      </c>
      <c r="I299" s="85">
        <v>193352.25</v>
      </c>
    </row>
    <row r="300" spans="2:9">
      <c r="B300" s="89" t="s">
        <v>199</v>
      </c>
      <c r="C300" s="91">
        <v>19.29</v>
      </c>
      <c r="D300" s="31"/>
      <c r="E300" s="83" t="s">
        <v>183</v>
      </c>
      <c r="F300" s="84">
        <v>1752.55</v>
      </c>
      <c r="H300" s="83" t="s">
        <v>217</v>
      </c>
      <c r="I300" s="84">
        <v>295513.12</v>
      </c>
    </row>
    <row r="301" spans="2:9">
      <c r="B301" s="83" t="s">
        <v>180</v>
      </c>
      <c r="C301" s="85">
        <v>2</v>
      </c>
      <c r="E301" s="89" t="s">
        <v>185</v>
      </c>
      <c r="F301" s="91">
        <v>93418.65</v>
      </c>
      <c r="H301" s="83" t="s">
        <v>218</v>
      </c>
      <c r="I301" s="85">
        <v>538.53</v>
      </c>
    </row>
    <row r="302" spans="2:9">
      <c r="B302" s="83" t="s">
        <v>181</v>
      </c>
      <c r="C302" s="84">
        <v>71732.3</v>
      </c>
      <c r="E302" s="39"/>
      <c r="F302" s="32"/>
      <c r="H302" s="83" t="s">
        <v>219</v>
      </c>
      <c r="I302" s="84">
        <v>155502.22</v>
      </c>
    </row>
    <row r="303" spans="2:9">
      <c r="B303" s="83" t="s">
        <v>182</v>
      </c>
      <c r="C303" s="85">
        <v>424723.11</v>
      </c>
      <c r="D303" s="31">
        <v>8</v>
      </c>
      <c r="E303" s="39" t="s">
        <v>235</v>
      </c>
      <c r="F303" s="96">
        <f>SUM(F300:F302)</f>
        <v>95171.199999999997</v>
      </c>
      <c r="H303" s="83" t="s">
        <v>220</v>
      </c>
      <c r="I303" s="85">
        <v>155629.29</v>
      </c>
    </row>
    <row r="304" spans="2:9">
      <c r="B304" s="83" t="s">
        <v>186</v>
      </c>
      <c r="C304" s="85">
        <v>113709.75999999999</v>
      </c>
      <c r="E304" s="42"/>
      <c r="H304" s="83" t="s">
        <v>221</v>
      </c>
      <c r="I304" s="84">
        <v>2.78</v>
      </c>
    </row>
    <row r="305" spans="1:9">
      <c r="B305" s="83" t="s">
        <v>184</v>
      </c>
      <c r="C305" s="85">
        <v>2</v>
      </c>
      <c r="H305" s="83" t="s">
        <v>222</v>
      </c>
      <c r="I305" s="85">
        <v>821.23</v>
      </c>
    </row>
    <row r="306" spans="1:9">
      <c r="A306" s="31">
        <v>4</v>
      </c>
      <c r="B306" s="32" t="s">
        <v>233</v>
      </c>
      <c r="C306" s="96">
        <f>SUM(C289:C305)</f>
        <v>5616834.1100000003</v>
      </c>
      <c r="H306" s="83" t="s">
        <v>223</v>
      </c>
      <c r="I306" s="84">
        <v>1999.04</v>
      </c>
    </row>
    <row r="307" spans="1:9">
      <c r="C307" s="31"/>
      <c r="H307" s="83" t="s">
        <v>224</v>
      </c>
      <c r="I307" s="85">
        <v>159.41999999999999</v>
      </c>
    </row>
    <row r="308" spans="1:9">
      <c r="B308" s="92" t="s">
        <v>175</v>
      </c>
      <c r="C308" s="93">
        <v>12.41</v>
      </c>
      <c r="H308" s="89" t="s">
        <v>225</v>
      </c>
      <c r="I308" s="91">
        <v>2</v>
      </c>
    </row>
    <row r="309" spans="1:9">
      <c r="B309" s="92" t="s">
        <v>176</v>
      </c>
      <c r="C309" s="94">
        <v>138999.82999999999</v>
      </c>
      <c r="E309" s="42"/>
      <c r="H309" s="32"/>
      <c r="I309" s="32"/>
    </row>
    <row r="310" spans="1:9">
      <c r="B310" s="39"/>
      <c r="C310" s="32"/>
      <c r="E310" s="42"/>
      <c r="G310" s="31">
        <v>9</v>
      </c>
      <c r="H310" s="32" t="s">
        <v>229</v>
      </c>
      <c r="I310" s="54">
        <f>SUM(I282:I309)</f>
        <v>20554738.210000001</v>
      </c>
    </row>
    <row r="311" spans="1:9">
      <c r="A311" s="31">
        <v>5</v>
      </c>
      <c r="B311" s="39" t="s">
        <v>232</v>
      </c>
      <c r="C311" s="96">
        <f>SUM(C308:C310)</f>
        <v>139012.24</v>
      </c>
      <c r="E311" s="42"/>
    </row>
    <row r="312" spans="1:9">
      <c r="C312" s="31"/>
      <c r="E312" s="42"/>
    </row>
    <row r="313" spans="1:9">
      <c r="G313" s="34">
        <v>10</v>
      </c>
      <c r="H313" s="32" t="s">
        <v>243</v>
      </c>
      <c r="I313" s="54">
        <f>C282+C306+C311+F291+F298+F303+I310+C285+C287</f>
        <v>168256997.52000001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Renun</vt:lpstr>
      <vt:lpstr>MargEM</vt:lpstr>
      <vt:lpstr>Fol_Proj_1</vt:lpstr>
      <vt:lpstr>Fol_Proj_2</vt:lpstr>
      <vt:lpstr>Fol_Proj_3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2021-12-17T16:07:03Z</cp:lastPrinted>
  <dcterms:created xsi:type="dcterms:W3CDTF">2021-09-30T12:12:14Z</dcterms:created>
  <dcterms:modified xsi:type="dcterms:W3CDTF">2021-12-30T15:23:36Z</dcterms:modified>
</cp:coreProperties>
</file>