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DO 2022\LDO LANÇADA\anexo III\"/>
    </mc:Choice>
  </mc:AlternateContent>
  <xr:revisionPtr revIDLastSave="0" documentId="13_ncr:1_{55BA2C76-09E8-400F-B73A-45F07767C6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2" sheetId="14" r:id="rId1"/>
  </sheets>
  <calcPr calcId="18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8" i="14" l="1"/>
  <c r="L88" i="14"/>
  <c r="K88" i="14"/>
  <c r="L614" i="14" l="1"/>
  <c r="M614" i="14"/>
  <c r="N614" i="14"/>
  <c r="L138" i="14" l="1"/>
  <c r="M138" i="14"/>
  <c r="N138" i="14"/>
  <c r="K138" i="14"/>
  <c r="L542" i="14" l="1"/>
  <c r="M542" i="14"/>
  <c r="N542" i="14"/>
  <c r="K542" i="14"/>
  <c r="F73" i="14" l="1"/>
  <c r="K85" i="14" s="1"/>
  <c r="F74" i="14"/>
  <c r="K84" i="14" s="1"/>
  <c r="F86" i="14"/>
  <c r="G86" i="14" s="1"/>
  <c r="H86" i="14" s="1"/>
  <c r="F77" i="14"/>
  <c r="K74" i="14"/>
  <c r="K75" i="14"/>
  <c r="H84" i="14"/>
  <c r="E729" i="14" l="1"/>
  <c r="F729" i="14" s="1"/>
  <c r="E728" i="14"/>
  <c r="E727" i="14"/>
  <c r="G715" i="14"/>
  <c r="K670" i="14"/>
  <c r="F670" i="14"/>
  <c r="G670" i="14" s="1"/>
  <c r="H670" i="14" s="1"/>
  <c r="F669" i="14"/>
  <c r="S667" i="14"/>
  <c r="R667" i="14"/>
  <c r="H660" i="14"/>
  <c r="Q659" i="14"/>
  <c r="P659" i="14"/>
  <c r="O659" i="14"/>
  <c r="N659" i="14"/>
  <c r="H659" i="14"/>
  <c r="G657" i="14"/>
  <c r="H657" i="14" s="1"/>
  <c r="G655" i="14"/>
  <c r="H655" i="14" s="1"/>
  <c r="F653" i="14"/>
  <c r="F652" i="14" s="1"/>
  <c r="G651" i="14"/>
  <c r="H651" i="14" s="1"/>
  <c r="F646" i="14"/>
  <c r="H645" i="14"/>
  <c r="H642" i="14"/>
  <c r="H638" i="14"/>
  <c r="H633" i="14"/>
  <c r="H627" i="14"/>
  <c r="F626" i="14"/>
  <c r="F625" i="14"/>
  <c r="G625" i="14" s="1"/>
  <c r="H625" i="14" s="1"/>
  <c r="F623" i="14"/>
  <c r="G623" i="14" s="1"/>
  <c r="H623" i="14" s="1"/>
  <c r="F621" i="14"/>
  <c r="F620" i="14" s="1"/>
  <c r="G619" i="14"/>
  <c r="H619" i="14" s="1"/>
  <c r="F617" i="14"/>
  <c r="H613" i="14"/>
  <c r="F610" i="14"/>
  <c r="G610" i="14" s="1"/>
  <c r="H610" i="14" s="1"/>
  <c r="F608" i="14"/>
  <c r="G608" i="14" s="1"/>
  <c r="H608" i="14" s="1"/>
  <c r="F604" i="14"/>
  <c r="F603" i="14" s="1"/>
  <c r="F598" i="14"/>
  <c r="F597" i="14"/>
  <c r="H593" i="14"/>
  <c r="G664" i="14"/>
  <c r="H664" i="14" s="1"/>
  <c r="G663" i="14"/>
  <c r="H663" i="14" s="1"/>
  <c r="F589" i="14"/>
  <c r="H585" i="14"/>
  <c r="F584" i="14"/>
  <c r="G583" i="14"/>
  <c r="H583" i="14" s="1"/>
  <c r="H578" i="14"/>
  <c r="G576" i="14"/>
  <c r="H576" i="14" s="1"/>
  <c r="G574" i="14"/>
  <c r="H574" i="14" s="1"/>
  <c r="F572" i="14"/>
  <c r="F571" i="14" s="1"/>
  <c r="F579" i="14" s="1"/>
  <c r="H559" i="14"/>
  <c r="H557" i="14"/>
  <c r="F555" i="14"/>
  <c r="G555" i="14" s="1"/>
  <c r="H555" i="14" s="1"/>
  <c r="F553" i="14"/>
  <c r="G553" i="14" s="1"/>
  <c r="H553" i="14" s="1"/>
  <c r="F552" i="14"/>
  <c r="L666" i="14" s="1"/>
  <c r="F551" i="14"/>
  <c r="F550" i="14" s="1"/>
  <c r="G549" i="14"/>
  <c r="H549" i="14" s="1"/>
  <c r="F540" i="14"/>
  <c r="F539" i="14"/>
  <c r="F536" i="14"/>
  <c r="H533" i="14"/>
  <c r="F531" i="14"/>
  <c r="G531" i="14" s="1"/>
  <c r="H531" i="14" s="1"/>
  <c r="F529" i="14"/>
  <c r="G529" i="14" s="1"/>
  <c r="H529" i="14" s="1"/>
  <c r="F527" i="14"/>
  <c r="F526" i="14" s="1"/>
  <c r="F519" i="14"/>
  <c r="F516" i="14"/>
  <c r="H511" i="14"/>
  <c r="G509" i="14"/>
  <c r="H509" i="14" s="1"/>
  <c r="G507" i="14"/>
  <c r="H507" i="14" s="1"/>
  <c r="F505" i="14"/>
  <c r="F504" i="14" s="1"/>
  <c r="F492" i="14"/>
  <c r="H490" i="14"/>
  <c r="G488" i="14"/>
  <c r="H488" i="14" s="1"/>
  <c r="G486" i="14"/>
  <c r="H486" i="14" s="1"/>
  <c r="F484" i="14"/>
  <c r="F483" i="14" s="1"/>
  <c r="F480" i="14"/>
  <c r="H477" i="14"/>
  <c r="G475" i="14"/>
  <c r="G473" i="14"/>
  <c r="H473" i="14" s="1"/>
  <c r="F471" i="14"/>
  <c r="F470" i="14" s="1"/>
  <c r="F465" i="14"/>
  <c r="H463" i="14"/>
  <c r="F461" i="14"/>
  <c r="G461" i="14" s="1"/>
  <c r="H461" i="14" s="1"/>
  <c r="G459" i="14"/>
  <c r="H459" i="14" s="1"/>
  <c r="F457" i="14"/>
  <c r="F456" i="14" s="1"/>
  <c r="H449" i="14"/>
  <c r="G447" i="14"/>
  <c r="H447" i="14" s="1"/>
  <c r="G445" i="14"/>
  <c r="H445" i="14" s="1"/>
  <c r="G444" i="14"/>
  <c r="H444" i="14" s="1"/>
  <c r="F443" i="14"/>
  <c r="F442" i="14" s="1"/>
  <c r="G441" i="14"/>
  <c r="H441" i="14" s="1"/>
  <c r="F439" i="14"/>
  <c r="F438" i="14"/>
  <c r="H436" i="14"/>
  <c r="G434" i="14"/>
  <c r="H434" i="14" s="1"/>
  <c r="G432" i="14"/>
  <c r="H432" i="14" s="1"/>
  <c r="F430" i="14"/>
  <c r="F429" i="14" s="1"/>
  <c r="F426" i="14"/>
  <c r="H423" i="14"/>
  <c r="G421" i="14"/>
  <c r="H421" i="14" s="1"/>
  <c r="G419" i="14"/>
  <c r="H419" i="14" s="1"/>
  <c r="F417" i="14"/>
  <c r="F416" i="14" s="1"/>
  <c r="F412" i="14"/>
  <c r="H410" i="14"/>
  <c r="G408" i="14"/>
  <c r="H408" i="14" s="1"/>
  <c r="G406" i="14"/>
  <c r="H406" i="14" s="1"/>
  <c r="F404" i="14"/>
  <c r="F403" i="14" s="1"/>
  <c r="F398" i="14"/>
  <c r="H397" i="14"/>
  <c r="G396" i="14"/>
  <c r="H396" i="14" s="1"/>
  <c r="G394" i="14"/>
  <c r="H394" i="14" s="1"/>
  <c r="H386" i="14"/>
  <c r="F385" i="14"/>
  <c r="H384" i="14"/>
  <c r="G382" i="14"/>
  <c r="H382" i="14" s="1"/>
  <c r="G381" i="14"/>
  <c r="H381" i="14" s="1"/>
  <c r="H374" i="14"/>
  <c r="H372" i="14"/>
  <c r="G370" i="14"/>
  <c r="H370" i="14" s="1"/>
  <c r="G368" i="14"/>
  <c r="H368" i="14" s="1"/>
  <c r="F366" i="14"/>
  <c r="F365" i="14" s="1"/>
  <c r="F373" i="14" s="1"/>
  <c r="H359" i="14"/>
  <c r="G357" i="14"/>
  <c r="H357" i="14" s="1"/>
  <c r="G355" i="14"/>
  <c r="H355" i="14" s="1"/>
  <c r="F353" i="14"/>
  <c r="F352" i="14" s="1"/>
  <c r="F360" i="14" s="1"/>
  <c r="H346" i="14"/>
  <c r="G344" i="14"/>
  <c r="H344" i="14" s="1"/>
  <c r="G342" i="14"/>
  <c r="H342" i="14" s="1"/>
  <c r="F340" i="14"/>
  <c r="F339" i="14" s="1"/>
  <c r="G338" i="14"/>
  <c r="H338" i="14" s="1"/>
  <c r="F336" i="14"/>
  <c r="H334" i="14"/>
  <c r="H332" i="14"/>
  <c r="G331" i="14"/>
  <c r="H331" i="14" s="1"/>
  <c r="G329" i="14"/>
  <c r="H329" i="14" s="1"/>
  <c r="I323" i="14"/>
  <c r="H322" i="14"/>
  <c r="G321" i="14"/>
  <c r="H321" i="14" s="1"/>
  <c r="G319" i="14"/>
  <c r="H319" i="14" s="1"/>
  <c r="F309" i="14"/>
  <c r="F308" i="14" s="1"/>
  <c r="H313" i="14"/>
  <c r="F312" i="14"/>
  <c r="G311" i="14"/>
  <c r="H311" i="14" s="1"/>
  <c r="G307" i="14"/>
  <c r="H307" i="14" s="1"/>
  <c r="F305" i="14"/>
  <c r="F304" i="14" s="1"/>
  <c r="F301" i="14"/>
  <c r="H298" i="14"/>
  <c r="G295" i="14"/>
  <c r="H295" i="14" s="1"/>
  <c r="G293" i="14"/>
  <c r="H293" i="14" s="1"/>
  <c r="H288" i="14"/>
  <c r="G286" i="14"/>
  <c r="H286" i="14" s="1"/>
  <c r="G284" i="14"/>
  <c r="H284" i="14" s="1"/>
  <c r="F282" i="14"/>
  <c r="F281" i="14" s="1"/>
  <c r="G280" i="14"/>
  <c r="H280" i="14" s="1"/>
  <c r="F277" i="14"/>
  <c r="H275" i="14"/>
  <c r="G274" i="14"/>
  <c r="H274" i="14" s="1"/>
  <c r="H273" i="14"/>
  <c r="G272" i="14"/>
  <c r="H272" i="14" s="1"/>
  <c r="H265" i="14"/>
  <c r="G263" i="14"/>
  <c r="H263" i="14" s="1"/>
  <c r="G261" i="14"/>
  <c r="H261" i="14" s="1"/>
  <c r="F259" i="14"/>
  <c r="F258" i="14" s="1"/>
  <c r="G257" i="14"/>
  <c r="H257" i="14" s="1"/>
  <c r="F254" i="14"/>
  <c r="H251" i="14"/>
  <c r="G250" i="14"/>
  <c r="H250" i="14" s="1"/>
  <c r="G248" i="14"/>
  <c r="H248" i="14" s="1"/>
  <c r="H241" i="14"/>
  <c r="G239" i="14"/>
  <c r="H239" i="14" s="1"/>
  <c r="G237" i="14"/>
  <c r="H237" i="14" s="1"/>
  <c r="F235" i="14"/>
  <c r="F234" i="14" s="1"/>
  <c r="F252" i="14" s="1"/>
  <c r="G233" i="14"/>
  <c r="H233" i="14" s="1"/>
  <c r="H228" i="14"/>
  <c r="H227" i="14"/>
  <c r="F226" i="14"/>
  <c r="H225" i="14"/>
  <c r="G224" i="14"/>
  <c r="G226" i="14" s="1"/>
  <c r="H226" i="14" s="1"/>
  <c r="H223" i="14"/>
  <c r="H222" i="14"/>
  <c r="H221" i="14"/>
  <c r="H220" i="14"/>
  <c r="H219" i="14"/>
  <c r="H218" i="14"/>
  <c r="H217" i="14"/>
  <c r="H216" i="14"/>
  <c r="H214" i="14"/>
  <c r="G213" i="14"/>
  <c r="H213" i="14" s="1"/>
  <c r="G211" i="14"/>
  <c r="H211" i="14" s="1"/>
  <c r="H208" i="14"/>
  <c r="H204" i="14"/>
  <c r="H203" i="14"/>
  <c r="F202" i="14"/>
  <c r="G201" i="14"/>
  <c r="H201" i="14" s="1"/>
  <c r="G199" i="14"/>
  <c r="H199" i="14" s="1"/>
  <c r="F197" i="14"/>
  <c r="F196" i="14" s="1"/>
  <c r="F192" i="14"/>
  <c r="H189" i="14"/>
  <c r="G188" i="14"/>
  <c r="H188" i="14" s="1"/>
  <c r="G186" i="14"/>
  <c r="H186" i="14" s="1"/>
  <c r="G184" i="14"/>
  <c r="H184" i="14" s="1"/>
  <c r="H179" i="14"/>
  <c r="G177" i="14"/>
  <c r="H177" i="14" s="1"/>
  <c r="G175" i="14"/>
  <c r="H175" i="14" s="1"/>
  <c r="F173" i="14"/>
  <c r="F172" i="14" s="1"/>
  <c r="F190" i="14" s="1"/>
  <c r="G171" i="14"/>
  <c r="H171" i="14" s="1"/>
  <c r="H165" i="14"/>
  <c r="G164" i="14"/>
  <c r="H164" i="14" s="1"/>
  <c r="G162" i="14"/>
  <c r="H162" i="14" s="1"/>
  <c r="G160" i="14"/>
  <c r="H160" i="14" s="1"/>
  <c r="H155" i="14"/>
  <c r="G153" i="14"/>
  <c r="H153" i="14" s="1"/>
  <c r="G151" i="14"/>
  <c r="H151" i="14" s="1"/>
  <c r="F148" i="14"/>
  <c r="F147" i="14" s="1"/>
  <c r="G146" i="14"/>
  <c r="H146" i="14" s="1"/>
  <c r="F143" i="14"/>
  <c r="H140" i="14"/>
  <c r="F139" i="14"/>
  <c r="G138" i="14"/>
  <c r="H138" i="14" s="1"/>
  <c r="G136" i="14"/>
  <c r="H136" i="14" s="1"/>
  <c r="F133" i="14"/>
  <c r="F132" i="14" s="1"/>
  <c r="G131" i="14"/>
  <c r="H131" i="14" s="1"/>
  <c r="F129" i="14"/>
  <c r="H126" i="14"/>
  <c r="F124" i="14"/>
  <c r="G124" i="14" s="1"/>
  <c r="H124" i="14" s="1"/>
  <c r="F120" i="14"/>
  <c r="G118" i="14"/>
  <c r="H118" i="14" s="1"/>
  <c r="H113" i="14"/>
  <c r="F112" i="14"/>
  <c r="G111" i="14"/>
  <c r="H111" i="14" s="1"/>
  <c r="G109" i="14"/>
  <c r="H109" i="14" s="1"/>
  <c r="F107" i="14"/>
  <c r="F106" i="14" s="1"/>
  <c r="F102" i="14"/>
  <c r="H100" i="14"/>
  <c r="G98" i="14"/>
  <c r="H98" i="14" s="1"/>
  <c r="G96" i="14"/>
  <c r="H96" i="14" s="1"/>
  <c r="F93" i="14"/>
  <c r="F92" i="14" s="1"/>
  <c r="F89" i="14"/>
  <c r="H81" i="14"/>
  <c r="G79" i="14"/>
  <c r="H79" i="14" s="1"/>
  <c r="H75" i="14"/>
  <c r="G72" i="14"/>
  <c r="H72" i="14" s="1"/>
  <c r="F69" i="14"/>
  <c r="F88" i="14" s="1"/>
  <c r="H67" i="14"/>
  <c r="F66" i="14"/>
  <c r="G65" i="14"/>
  <c r="H65" i="14" s="1"/>
  <c r="G63" i="14"/>
  <c r="H63" i="14" s="1"/>
  <c r="F61" i="14"/>
  <c r="G59" i="14"/>
  <c r="H59" i="14" s="1"/>
  <c r="F56" i="14"/>
  <c r="H54" i="14"/>
  <c r="G52" i="14"/>
  <c r="H52" i="14" s="1"/>
  <c r="G50" i="14"/>
  <c r="H50" i="14" s="1"/>
  <c r="H49" i="14"/>
  <c r="F48" i="14"/>
  <c r="G46" i="14"/>
  <c r="H46" i="14" s="1"/>
  <c r="H41" i="14"/>
  <c r="G39" i="14"/>
  <c r="G37" i="14"/>
  <c r="H37" i="14" s="1"/>
  <c r="H36" i="14"/>
  <c r="F35" i="14"/>
  <c r="F34" i="14" s="1"/>
  <c r="G33" i="14"/>
  <c r="H33" i="14" s="1"/>
  <c r="F29" i="14"/>
  <c r="F42" i="14" s="1"/>
  <c r="G27" i="14"/>
  <c r="G662" i="14" s="1"/>
  <c r="H662" i="14" s="1"/>
  <c r="G8" i="14"/>
  <c r="F101" i="14" l="1"/>
  <c r="H475" i="14"/>
  <c r="G82" i="14"/>
  <c r="H82" i="14" s="1"/>
  <c r="G85" i="14"/>
  <c r="H85" i="14" s="1"/>
  <c r="G83" i="14"/>
  <c r="H83" i="14" s="1"/>
  <c r="G74" i="14"/>
  <c r="G73" i="14"/>
  <c r="K82" i="14" s="1"/>
  <c r="L667" i="14"/>
  <c r="F141" i="14"/>
  <c r="F166" i="14"/>
  <c r="F464" i="14"/>
  <c r="G197" i="14"/>
  <c r="H197" i="14" s="1"/>
  <c r="M665" i="14"/>
  <c r="F671" i="14"/>
  <c r="F730" i="14"/>
  <c r="G730" i="14" s="1"/>
  <c r="H730" i="14" s="1"/>
  <c r="G61" i="14"/>
  <c r="H61" i="14" s="1"/>
  <c r="F60" i="14"/>
  <c r="G60" i="14" s="1"/>
  <c r="H60" i="14" s="1"/>
  <c r="G48" i="14"/>
  <c r="H48" i="14" s="1"/>
  <c r="F47" i="14"/>
  <c r="F55" i="14" s="1"/>
  <c r="G120" i="14"/>
  <c r="H120" i="14" s="1"/>
  <c r="F299" i="14"/>
  <c r="F323" i="14"/>
  <c r="F512" i="14"/>
  <c r="F558" i="14"/>
  <c r="H73" i="14"/>
  <c r="G77" i="14"/>
  <c r="H77" i="14" s="1"/>
  <c r="G112" i="14"/>
  <c r="H112" i="14" s="1"/>
  <c r="F119" i="14"/>
  <c r="G119" i="14" s="1"/>
  <c r="H119" i="14" s="1"/>
  <c r="G173" i="14"/>
  <c r="H173" i="14" s="1"/>
  <c r="F215" i="14"/>
  <c r="F276" i="14"/>
  <c r="F347" i="14"/>
  <c r="F424" i="14"/>
  <c r="L665" i="14"/>
  <c r="F491" i="14"/>
  <c r="F534" i="14"/>
  <c r="F614" i="14"/>
  <c r="F628" i="14"/>
  <c r="G29" i="14"/>
  <c r="G34" i="14"/>
  <c r="H34" i="14" s="1"/>
  <c r="G35" i="14"/>
  <c r="N667" i="14"/>
  <c r="G43" i="14"/>
  <c r="G45" i="14"/>
  <c r="H45" i="14" s="1"/>
  <c r="G53" i="14"/>
  <c r="H53" i="14" s="1"/>
  <c r="G56" i="14"/>
  <c r="G58" i="14"/>
  <c r="H58" i="14" s="1"/>
  <c r="G62" i="14"/>
  <c r="G66" i="14"/>
  <c r="H66" i="14" s="1"/>
  <c r="G69" i="14"/>
  <c r="G71" i="14"/>
  <c r="H71" i="14" s="1"/>
  <c r="G76" i="14"/>
  <c r="G80" i="14"/>
  <c r="H80" i="14" s="1"/>
  <c r="G89" i="14"/>
  <c r="G91" i="14"/>
  <c r="H91" i="14" s="1"/>
  <c r="G92" i="14"/>
  <c r="H92" i="14" s="1"/>
  <c r="G93" i="14"/>
  <c r="H93" i="14" s="1"/>
  <c r="G95" i="14"/>
  <c r="H95" i="14" s="1"/>
  <c r="G103" i="14"/>
  <c r="H103" i="14" s="1"/>
  <c r="G105" i="14"/>
  <c r="H105" i="14" s="1"/>
  <c r="G106" i="14"/>
  <c r="H106" i="14" s="1"/>
  <c r="G107" i="14"/>
  <c r="H107" i="14" s="1"/>
  <c r="G115" i="14"/>
  <c r="G117" i="14"/>
  <c r="H117" i="14" s="1"/>
  <c r="G121" i="14"/>
  <c r="H121" i="14" s="1"/>
  <c r="G125" i="14"/>
  <c r="H125" i="14" s="1"/>
  <c r="G129" i="14"/>
  <c r="G132" i="14"/>
  <c r="H132" i="14" s="1"/>
  <c r="G133" i="14"/>
  <c r="H133" i="14" s="1"/>
  <c r="G135" i="14"/>
  <c r="H135" i="14" s="1"/>
  <c r="G139" i="14"/>
  <c r="H139" i="14" s="1"/>
  <c r="G144" i="14"/>
  <c r="H144" i="14" s="1"/>
  <c r="G147" i="14"/>
  <c r="H147" i="14" s="1"/>
  <c r="G148" i="14"/>
  <c r="H148" i="14" s="1"/>
  <c r="G150" i="14"/>
  <c r="H150" i="14" s="1"/>
  <c r="G156" i="14"/>
  <c r="G158" i="14"/>
  <c r="H158" i="14" s="1"/>
  <c r="G168" i="14"/>
  <c r="H168" i="14" s="1"/>
  <c r="G170" i="14"/>
  <c r="H170" i="14" s="1"/>
  <c r="G174" i="14"/>
  <c r="H174" i="14" s="1"/>
  <c r="G180" i="14"/>
  <c r="H180" i="14" s="1"/>
  <c r="G182" i="14"/>
  <c r="H182" i="14" s="1"/>
  <c r="G193" i="14"/>
  <c r="H193" i="14" s="1"/>
  <c r="G195" i="14"/>
  <c r="H195" i="14" s="1"/>
  <c r="G196" i="14"/>
  <c r="H196" i="14" s="1"/>
  <c r="G202" i="14"/>
  <c r="H202" i="14" s="1"/>
  <c r="G235" i="14"/>
  <c r="H235" i="14" s="1"/>
  <c r="G281" i="14"/>
  <c r="H281" i="14" s="1"/>
  <c r="M660" i="14"/>
  <c r="N660" i="14" s="1"/>
  <c r="O660" i="14" s="1"/>
  <c r="P660" i="14" s="1"/>
  <c r="Q660" i="14" s="1"/>
  <c r="G654" i="14"/>
  <c r="H654" i="14" s="1"/>
  <c r="G650" i="14"/>
  <c r="H650" i="14" s="1"/>
  <c r="G648" i="14"/>
  <c r="H648" i="14" s="1"/>
  <c r="G644" i="14"/>
  <c r="H644" i="14" s="1"/>
  <c r="G641" i="14"/>
  <c r="H641" i="14" s="1"/>
  <c r="G639" i="14"/>
  <c r="H639" i="14" s="1"/>
  <c r="G658" i="14"/>
  <c r="H658" i="14" s="1"/>
  <c r="G649" i="14"/>
  <c r="H649" i="14" s="1"/>
  <c r="G640" i="14"/>
  <c r="H640" i="14" s="1"/>
  <c r="G637" i="14"/>
  <c r="H637" i="14" s="1"/>
  <c r="G635" i="14"/>
  <c r="H635" i="14" s="1"/>
  <c r="G632" i="14"/>
  <c r="H632" i="14" s="1"/>
  <c r="G630" i="14"/>
  <c r="H630" i="14" s="1"/>
  <c r="G622" i="14"/>
  <c r="H622" i="14" s="1"/>
  <c r="G618" i="14"/>
  <c r="H618" i="14" s="1"/>
  <c r="G615" i="14"/>
  <c r="G611" i="14"/>
  <c r="H611" i="14" s="1"/>
  <c r="G606" i="14"/>
  <c r="H606" i="14" s="1"/>
  <c r="G602" i="14"/>
  <c r="H602" i="14" s="1"/>
  <c r="G600" i="14"/>
  <c r="H600" i="14" s="1"/>
  <c r="G596" i="14"/>
  <c r="H596" i="14" s="1"/>
  <c r="G594" i="14"/>
  <c r="G590" i="14"/>
  <c r="H590" i="14" s="1"/>
  <c r="G587" i="14"/>
  <c r="H587" i="14" s="1"/>
  <c r="G581" i="14"/>
  <c r="H581" i="14" s="1"/>
  <c r="G577" i="14"/>
  <c r="H577" i="14" s="1"/>
  <c r="G653" i="14"/>
  <c r="H653" i="14" s="1"/>
  <c r="G652" i="14"/>
  <c r="H652" i="14" s="1"/>
  <c r="G647" i="14"/>
  <c r="H647" i="14" s="1"/>
  <c r="G643" i="14"/>
  <c r="H643" i="14" s="1"/>
  <c r="G636" i="14"/>
  <c r="H636" i="14" s="1"/>
  <c r="G634" i="14"/>
  <c r="H634" i="14" s="1"/>
  <c r="G631" i="14"/>
  <c r="H631" i="14" s="1"/>
  <c r="G629" i="14"/>
  <c r="H629" i="14" s="1"/>
  <c r="G621" i="14"/>
  <c r="H621" i="14" s="1"/>
  <c r="G620" i="14"/>
  <c r="H620" i="14" s="1"/>
  <c r="G617" i="14"/>
  <c r="H617" i="14" s="1"/>
  <c r="G616" i="14"/>
  <c r="H616" i="14" s="1"/>
  <c r="G612" i="14"/>
  <c r="H612" i="14" s="1"/>
  <c r="G607" i="14"/>
  <c r="H607" i="14" s="1"/>
  <c r="G605" i="14"/>
  <c r="H605" i="14" s="1"/>
  <c r="G601" i="14"/>
  <c r="H601" i="14" s="1"/>
  <c r="G599" i="14"/>
  <c r="H599" i="14" s="1"/>
  <c r="G595" i="14"/>
  <c r="H595" i="14" s="1"/>
  <c r="G591" i="14"/>
  <c r="H591" i="14" s="1"/>
  <c r="G589" i="14"/>
  <c r="H589" i="14" s="1"/>
  <c r="G588" i="14"/>
  <c r="H588" i="14" s="1"/>
  <c r="G586" i="14"/>
  <c r="G582" i="14"/>
  <c r="H582" i="14" s="1"/>
  <c r="G580" i="14"/>
  <c r="H580" i="14" s="1"/>
  <c r="G573" i="14"/>
  <c r="H573" i="14" s="1"/>
  <c r="G569" i="14"/>
  <c r="H569" i="14" s="1"/>
  <c r="G567" i="14"/>
  <c r="H567" i="14" s="1"/>
  <c r="G565" i="14"/>
  <c r="H565" i="14" s="1"/>
  <c r="G563" i="14"/>
  <c r="H563" i="14" s="1"/>
  <c r="G561" i="14"/>
  <c r="G556" i="14"/>
  <c r="H556" i="14" s="1"/>
  <c r="G548" i="14"/>
  <c r="H548" i="14" s="1"/>
  <c r="G546" i="14"/>
  <c r="H546" i="14" s="1"/>
  <c r="G544" i="14"/>
  <c r="H544" i="14" s="1"/>
  <c r="G542" i="14"/>
  <c r="H542" i="14" s="1"/>
  <c r="G540" i="14"/>
  <c r="H540" i="14" s="1"/>
  <c r="G539" i="14"/>
  <c r="H539" i="14" s="1"/>
  <c r="G538" i="14"/>
  <c r="H538" i="14" s="1"/>
  <c r="G536" i="14"/>
  <c r="H536" i="14" s="1"/>
  <c r="G535" i="14"/>
  <c r="G528" i="14"/>
  <c r="H528" i="14" s="1"/>
  <c r="G524" i="14"/>
  <c r="H524" i="14" s="1"/>
  <c r="G522" i="14"/>
  <c r="H522" i="14" s="1"/>
  <c r="G520" i="14"/>
  <c r="H520" i="14" s="1"/>
  <c r="G517" i="14"/>
  <c r="H517" i="14" s="1"/>
  <c r="G514" i="14"/>
  <c r="H514" i="14" s="1"/>
  <c r="G570" i="14"/>
  <c r="H570" i="14" s="1"/>
  <c r="G568" i="14"/>
  <c r="H568" i="14" s="1"/>
  <c r="G566" i="14"/>
  <c r="H566" i="14" s="1"/>
  <c r="G564" i="14"/>
  <c r="H564" i="14" s="1"/>
  <c r="G562" i="14"/>
  <c r="H562" i="14" s="1"/>
  <c r="G560" i="14"/>
  <c r="G547" i="14"/>
  <c r="H547" i="14" s="1"/>
  <c r="G545" i="14"/>
  <c r="H545" i="14" s="1"/>
  <c r="G543" i="14"/>
  <c r="H543" i="14" s="1"/>
  <c r="G541" i="14"/>
  <c r="H541" i="14" s="1"/>
  <c r="G537" i="14"/>
  <c r="G532" i="14"/>
  <c r="H532" i="14" s="1"/>
  <c r="G525" i="14"/>
  <c r="H525" i="14" s="1"/>
  <c r="G523" i="14"/>
  <c r="H523" i="14" s="1"/>
  <c r="G521" i="14"/>
  <c r="H521" i="14" s="1"/>
  <c r="G518" i="14"/>
  <c r="H518" i="14" s="1"/>
  <c r="G515" i="14"/>
  <c r="G513" i="14"/>
  <c r="G506" i="14"/>
  <c r="H506" i="14" s="1"/>
  <c r="G503" i="14"/>
  <c r="H503" i="14" s="1"/>
  <c r="G501" i="14"/>
  <c r="H501" i="14" s="1"/>
  <c r="G499" i="14"/>
  <c r="H499" i="14" s="1"/>
  <c r="G497" i="14"/>
  <c r="H497" i="14" s="1"/>
  <c r="G495" i="14"/>
  <c r="H495" i="14" s="1"/>
  <c r="G493" i="14"/>
  <c r="H493" i="14" s="1"/>
  <c r="G485" i="14"/>
  <c r="H485" i="14" s="1"/>
  <c r="G481" i="14"/>
  <c r="H481" i="14" s="1"/>
  <c r="G476" i="14"/>
  <c r="H476" i="14" s="1"/>
  <c r="G469" i="14"/>
  <c r="H469" i="14" s="1"/>
  <c r="G467" i="14"/>
  <c r="H467" i="14" s="1"/>
  <c r="G462" i="14"/>
  <c r="H462" i="14" s="1"/>
  <c r="G458" i="14"/>
  <c r="H458" i="14" s="1"/>
  <c r="G454" i="14"/>
  <c r="H454" i="14" s="1"/>
  <c r="G452" i="14"/>
  <c r="H452" i="14" s="1"/>
  <c r="G448" i="14"/>
  <c r="H448" i="14" s="1"/>
  <c r="G443" i="14"/>
  <c r="H443" i="14" s="1"/>
  <c r="G442" i="14"/>
  <c r="H442" i="14" s="1"/>
  <c r="G435" i="14"/>
  <c r="H435" i="14" s="1"/>
  <c r="G428" i="14"/>
  <c r="H428" i="14" s="1"/>
  <c r="G425" i="14"/>
  <c r="G418" i="14"/>
  <c r="H418" i="14" s="1"/>
  <c r="G414" i="14"/>
  <c r="H414" i="14" s="1"/>
  <c r="G409" i="14"/>
  <c r="H409" i="14" s="1"/>
  <c r="G402" i="14"/>
  <c r="H402" i="14" s="1"/>
  <c r="G400" i="14"/>
  <c r="H400" i="14" s="1"/>
  <c r="G392" i="14"/>
  <c r="H392" i="14" s="1"/>
  <c r="G390" i="14"/>
  <c r="H390" i="14" s="1"/>
  <c r="G388" i="14"/>
  <c r="H388" i="14" s="1"/>
  <c r="G383" i="14"/>
  <c r="H383" i="14" s="1"/>
  <c r="G379" i="14"/>
  <c r="H379" i="14" s="1"/>
  <c r="G377" i="14"/>
  <c r="H377" i="14" s="1"/>
  <c r="G375" i="14"/>
  <c r="G367" i="14"/>
  <c r="H367" i="14" s="1"/>
  <c r="G363" i="14"/>
  <c r="H363" i="14" s="1"/>
  <c r="G361" i="14"/>
  <c r="G510" i="14"/>
  <c r="H510" i="14" s="1"/>
  <c r="G502" i="14"/>
  <c r="H502" i="14" s="1"/>
  <c r="G500" i="14"/>
  <c r="H500" i="14" s="1"/>
  <c r="G498" i="14"/>
  <c r="H498" i="14" s="1"/>
  <c r="G496" i="14"/>
  <c r="H496" i="14" s="1"/>
  <c r="G494" i="14"/>
  <c r="H494" i="14" s="1"/>
  <c r="G489" i="14"/>
  <c r="H489" i="14" s="1"/>
  <c r="G482" i="14"/>
  <c r="H482" i="14" s="1"/>
  <c r="G479" i="14"/>
  <c r="G472" i="14"/>
  <c r="H472" i="14" s="1"/>
  <c r="G468" i="14"/>
  <c r="H468" i="14" s="1"/>
  <c r="G466" i="14"/>
  <c r="H466" i="14" s="1"/>
  <c r="G455" i="14"/>
  <c r="H455" i="14" s="1"/>
  <c r="G453" i="14"/>
  <c r="H453" i="14" s="1"/>
  <c r="G451" i="14"/>
  <c r="G440" i="14"/>
  <c r="G431" i="14"/>
  <c r="H431" i="14" s="1"/>
  <c r="G427" i="14"/>
  <c r="H427" i="14" s="1"/>
  <c r="G422" i="14"/>
  <c r="H422" i="14" s="1"/>
  <c r="G417" i="14"/>
  <c r="H417" i="14" s="1"/>
  <c r="G415" i="14"/>
  <c r="H415" i="14" s="1"/>
  <c r="G413" i="14"/>
  <c r="H413" i="14" s="1"/>
  <c r="G405" i="14"/>
  <c r="H405" i="14" s="1"/>
  <c r="G401" i="14"/>
  <c r="H401" i="14" s="1"/>
  <c r="G399" i="14"/>
  <c r="G395" i="14"/>
  <c r="H395" i="14" s="1"/>
  <c r="G393" i="14"/>
  <c r="H393" i="14" s="1"/>
  <c r="G391" i="14"/>
  <c r="H391" i="14" s="1"/>
  <c r="G389" i="14"/>
  <c r="H389" i="14" s="1"/>
  <c r="G387" i="14"/>
  <c r="G380" i="14"/>
  <c r="H380" i="14" s="1"/>
  <c r="G378" i="14"/>
  <c r="H378" i="14" s="1"/>
  <c r="G376" i="14"/>
  <c r="H376" i="14" s="1"/>
  <c r="G371" i="14"/>
  <c r="H371" i="14" s="1"/>
  <c r="G366" i="14"/>
  <c r="H366" i="14" s="1"/>
  <c r="G365" i="14"/>
  <c r="H365" i="14" s="1"/>
  <c r="G364" i="14"/>
  <c r="H364" i="14" s="1"/>
  <c r="G362" i="14"/>
  <c r="H362" i="14" s="1"/>
  <c r="G358" i="14"/>
  <c r="H358" i="14" s="1"/>
  <c r="G354" i="14"/>
  <c r="H354" i="14" s="1"/>
  <c r="G352" i="14"/>
  <c r="H352" i="14" s="1"/>
  <c r="G351" i="14"/>
  <c r="H351" i="14" s="1"/>
  <c r="G349" i="14"/>
  <c r="H349" i="14" s="1"/>
  <c r="G345" i="14"/>
  <c r="H345" i="14" s="1"/>
  <c r="G340" i="14"/>
  <c r="H340" i="14" s="1"/>
  <c r="G339" i="14"/>
  <c r="H339" i="14" s="1"/>
  <c r="G336" i="14"/>
  <c r="H336" i="14" s="1"/>
  <c r="G335" i="14"/>
  <c r="G327" i="14"/>
  <c r="H327" i="14" s="1"/>
  <c r="G325" i="14"/>
  <c r="H325" i="14" s="1"/>
  <c r="G320" i="14"/>
  <c r="H320" i="14" s="1"/>
  <c r="G309" i="14"/>
  <c r="H309" i="14" s="1"/>
  <c r="G308" i="14"/>
  <c r="H308" i="14" s="1"/>
  <c r="G318" i="14"/>
  <c r="H318" i="14" s="1"/>
  <c r="G316" i="14"/>
  <c r="H316" i="14" s="1"/>
  <c r="G314" i="14"/>
  <c r="H314" i="14" s="1"/>
  <c r="G305" i="14"/>
  <c r="H305" i="14" s="1"/>
  <c r="G304" i="14"/>
  <c r="H304" i="14" s="1"/>
  <c r="G303" i="14"/>
  <c r="H303" i="14" s="1"/>
  <c r="G301" i="14"/>
  <c r="H301" i="14" s="1"/>
  <c r="G300" i="14"/>
  <c r="G297" i="14"/>
  <c r="H297" i="14" s="1"/>
  <c r="G291" i="14"/>
  <c r="H291" i="14" s="1"/>
  <c r="G289" i="14"/>
  <c r="H289" i="14" s="1"/>
  <c r="G283" i="14"/>
  <c r="H283" i="14" s="1"/>
  <c r="G279" i="14"/>
  <c r="H279" i="14" s="1"/>
  <c r="G277" i="14"/>
  <c r="G271" i="14"/>
  <c r="H271" i="14" s="1"/>
  <c r="G269" i="14"/>
  <c r="H269" i="14" s="1"/>
  <c r="G267" i="14"/>
  <c r="H267" i="14" s="1"/>
  <c r="G264" i="14"/>
  <c r="H264" i="14" s="1"/>
  <c r="G259" i="14"/>
  <c r="H259" i="14" s="1"/>
  <c r="G258" i="14"/>
  <c r="H258" i="14" s="1"/>
  <c r="G255" i="14"/>
  <c r="H255" i="14" s="1"/>
  <c r="G246" i="14"/>
  <c r="H246" i="14" s="1"/>
  <c r="G244" i="14"/>
  <c r="H244" i="14" s="1"/>
  <c r="G242" i="14"/>
  <c r="H242" i="14" s="1"/>
  <c r="G236" i="14"/>
  <c r="H236" i="14" s="1"/>
  <c r="G232" i="14"/>
  <c r="H232" i="14" s="1"/>
  <c r="G230" i="14"/>
  <c r="H230" i="14" s="1"/>
  <c r="G212" i="14"/>
  <c r="H212" i="14" s="1"/>
  <c r="G210" i="14"/>
  <c r="H210" i="14" s="1"/>
  <c r="G207" i="14"/>
  <c r="H207" i="14" s="1"/>
  <c r="G205" i="14"/>
  <c r="H205" i="14" s="1"/>
  <c r="G350" i="14"/>
  <c r="H350" i="14" s="1"/>
  <c r="G348" i="14"/>
  <c r="G341" i="14"/>
  <c r="H341" i="14" s="1"/>
  <c r="G337" i="14"/>
  <c r="H337" i="14" s="1"/>
  <c r="G330" i="14"/>
  <c r="H330" i="14" s="1"/>
  <c r="G328" i="14"/>
  <c r="H328" i="14" s="1"/>
  <c r="G326" i="14"/>
  <c r="H326" i="14" s="1"/>
  <c r="G324" i="14"/>
  <c r="G317" i="14"/>
  <c r="H317" i="14" s="1"/>
  <c r="G315" i="14"/>
  <c r="H315" i="14" s="1"/>
  <c r="G306" i="14"/>
  <c r="H306" i="14" s="1"/>
  <c r="G302" i="14"/>
  <c r="H302" i="14" s="1"/>
  <c r="G296" i="14"/>
  <c r="H296" i="14" s="1"/>
  <c r="G294" i="14"/>
  <c r="H294" i="14" s="1"/>
  <c r="G292" i="14"/>
  <c r="H292" i="14" s="1"/>
  <c r="G290" i="14"/>
  <c r="H290" i="14" s="1"/>
  <c r="G287" i="14"/>
  <c r="H287" i="14" s="1"/>
  <c r="G278" i="14"/>
  <c r="H278" i="14" s="1"/>
  <c r="G270" i="14"/>
  <c r="H270" i="14" s="1"/>
  <c r="G268" i="14"/>
  <c r="H268" i="14" s="1"/>
  <c r="G266" i="14"/>
  <c r="H266" i="14" s="1"/>
  <c r="G260" i="14"/>
  <c r="H260" i="14" s="1"/>
  <c r="G256" i="14"/>
  <c r="H256" i="14" s="1"/>
  <c r="G253" i="14"/>
  <c r="G249" i="14"/>
  <c r="H249" i="14" s="1"/>
  <c r="G247" i="14"/>
  <c r="H247" i="14" s="1"/>
  <c r="G245" i="14"/>
  <c r="H245" i="14" s="1"/>
  <c r="G243" i="14"/>
  <c r="H243" i="14" s="1"/>
  <c r="G240" i="14"/>
  <c r="H240" i="14" s="1"/>
  <c r="G231" i="14"/>
  <c r="H231" i="14" s="1"/>
  <c r="G229" i="14"/>
  <c r="G209" i="14"/>
  <c r="H209" i="14" s="1"/>
  <c r="G206" i="14"/>
  <c r="H206" i="14" s="1"/>
  <c r="G31" i="14"/>
  <c r="H31" i="14" s="1"/>
  <c r="G30" i="14"/>
  <c r="H30" i="14" s="1"/>
  <c r="G32" i="14"/>
  <c r="H32" i="14" s="1"/>
  <c r="L661" i="14"/>
  <c r="M667" i="14"/>
  <c r="H39" i="14"/>
  <c r="G40" i="14"/>
  <c r="H40" i="14" s="1"/>
  <c r="G44" i="14"/>
  <c r="H44" i="14" s="1"/>
  <c r="G57" i="14"/>
  <c r="H57" i="14" s="1"/>
  <c r="G70" i="14"/>
  <c r="H70" i="14" s="1"/>
  <c r="G90" i="14"/>
  <c r="H90" i="14" s="1"/>
  <c r="G94" i="14"/>
  <c r="H94" i="14" s="1"/>
  <c r="G99" i="14"/>
  <c r="H99" i="14" s="1"/>
  <c r="G102" i="14"/>
  <c r="G104" i="14"/>
  <c r="H104" i="14" s="1"/>
  <c r="G108" i="14"/>
  <c r="H108" i="14" s="1"/>
  <c r="G116" i="14"/>
  <c r="H116" i="14" s="1"/>
  <c r="G122" i="14"/>
  <c r="H122" i="14" s="1"/>
  <c r="G130" i="14"/>
  <c r="H130" i="14" s="1"/>
  <c r="G134" i="14"/>
  <c r="H134" i="14" s="1"/>
  <c r="G142" i="14"/>
  <c r="G143" i="14"/>
  <c r="H143" i="14" s="1"/>
  <c r="G145" i="14"/>
  <c r="H145" i="14" s="1"/>
  <c r="G149" i="14"/>
  <c r="H149" i="14" s="1"/>
  <c r="G154" i="14"/>
  <c r="H154" i="14" s="1"/>
  <c r="G157" i="14"/>
  <c r="H157" i="14" s="1"/>
  <c r="G159" i="14"/>
  <c r="H159" i="14" s="1"/>
  <c r="G161" i="14"/>
  <c r="H161" i="14" s="1"/>
  <c r="G163" i="14"/>
  <c r="H163" i="14" s="1"/>
  <c r="G167" i="14"/>
  <c r="G169" i="14"/>
  <c r="H169" i="14" s="1"/>
  <c r="G172" i="14"/>
  <c r="H172" i="14" s="1"/>
  <c r="G178" i="14"/>
  <c r="H178" i="14" s="1"/>
  <c r="G181" i="14"/>
  <c r="H181" i="14" s="1"/>
  <c r="G183" i="14"/>
  <c r="H183" i="14" s="1"/>
  <c r="G185" i="14"/>
  <c r="H185" i="14" s="1"/>
  <c r="G187" i="14"/>
  <c r="H187" i="14" s="1"/>
  <c r="G191" i="14"/>
  <c r="G192" i="14"/>
  <c r="H192" i="14" s="1"/>
  <c r="G194" i="14"/>
  <c r="H194" i="14" s="1"/>
  <c r="G198" i="14"/>
  <c r="H198" i="14" s="1"/>
  <c r="G282" i="14"/>
  <c r="H282" i="14" s="1"/>
  <c r="G312" i="14"/>
  <c r="H312" i="14" s="1"/>
  <c r="H224" i="14"/>
  <c r="G234" i="14"/>
  <c r="H234" i="14" s="1"/>
  <c r="G254" i="14"/>
  <c r="H254" i="14" s="1"/>
  <c r="G353" i="14"/>
  <c r="H353" i="14" s="1"/>
  <c r="G403" i="14"/>
  <c r="H403" i="14" s="1"/>
  <c r="G426" i="14"/>
  <c r="H426" i="14" s="1"/>
  <c r="G430" i="14"/>
  <c r="H430" i="14" s="1"/>
  <c r="G438" i="14"/>
  <c r="G470" i="14"/>
  <c r="H470" i="14" s="1"/>
  <c r="G484" i="14"/>
  <c r="H484" i="14" s="1"/>
  <c r="G504" i="14"/>
  <c r="H504" i="14" s="1"/>
  <c r="G404" i="14"/>
  <c r="H404" i="14" s="1"/>
  <c r="G416" i="14"/>
  <c r="H416" i="14" s="1"/>
  <c r="G429" i="14"/>
  <c r="H429" i="14" s="1"/>
  <c r="G439" i="14"/>
  <c r="H439" i="14" s="1"/>
  <c r="G457" i="14"/>
  <c r="H457" i="14" s="1"/>
  <c r="G465" i="14"/>
  <c r="G471" i="14"/>
  <c r="H471" i="14" s="1"/>
  <c r="G483" i="14"/>
  <c r="H483" i="14" s="1"/>
  <c r="G505" i="14"/>
  <c r="H505" i="14" s="1"/>
  <c r="F411" i="14"/>
  <c r="F437" i="14"/>
  <c r="F450" i="14"/>
  <c r="G456" i="14"/>
  <c r="H456" i="14" s="1"/>
  <c r="F478" i="14"/>
  <c r="G480" i="14"/>
  <c r="H480" i="14" s="1"/>
  <c r="G492" i="14"/>
  <c r="G526" i="14"/>
  <c r="H526" i="14" s="1"/>
  <c r="G550" i="14"/>
  <c r="H550" i="14" s="1"/>
  <c r="G572" i="14"/>
  <c r="H572" i="14" s="1"/>
  <c r="G412" i="14"/>
  <c r="G519" i="14"/>
  <c r="H519" i="14" s="1"/>
  <c r="G527" i="14"/>
  <c r="H527" i="14" s="1"/>
  <c r="G551" i="14"/>
  <c r="H551" i="14" s="1"/>
  <c r="G516" i="14"/>
  <c r="H516" i="14" s="1"/>
  <c r="G552" i="14"/>
  <c r="H552" i="14" s="1"/>
  <c r="G571" i="14"/>
  <c r="H571" i="14" s="1"/>
  <c r="G584" i="14"/>
  <c r="H584" i="14" s="1"/>
  <c r="G603" i="14"/>
  <c r="H603" i="14" s="1"/>
  <c r="G626" i="14"/>
  <c r="H626" i="14" s="1"/>
  <c r="G598" i="14"/>
  <c r="H598" i="14" s="1"/>
  <c r="G604" i="14"/>
  <c r="H604" i="14" s="1"/>
  <c r="G686" i="14"/>
  <c r="F686" i="14"/>
  <c r="G597" i="14"/>
  <c r="H597" i="14" s="1"/>
  <c r="F661" i="14"/>
  <c r="G646" i="14"/>
  <c r="G669" i="14"/>
  <c r="E730" i="14"/>
  <c r="K83" i="14" l="1"/>
  <c r="H87" i="14"/>
  <c r="H508" i="14"/>
  <c r="L82" i="14"/>
  <c r="H74" i="14"/>
  <c r="H76" i="14"/>
  <c r="G88" i="14"/>
  <c r="F677" i="14" s="1"/>
  <c r="H407" i="14"/>
  <c r="H411" i="14" s="1"/>
  <c r="H356" i="14"/>
  <c r="H343" i="14"/>
  <c r="H310" i="14"/>
  <c r="H323" i="14" s="1"/>
  <c r="H262" i="14"/>
  <c r="H238" i="14"/>
  <c r="H200" i="14"/>
  <c r="H176" i="14"/>
  <c r="H152" i="14"/>
  <c r="G47" i="14"/>
  <c r="H47" i="14" s="1"/>
  <c r="F68" i="14"/>
  <c r="F128" i="14"/>
  <c r="F665" i="14" s="1"/>
  <c r="G661" i="14"/>
  <c r="H646" i="14"/>
  <c r="H656" i="14" s="1"/>
  <c r="H661" i="14" s="1"/>
  <c r="G671" i="14"/>
  <c r="H669" i="14"/>
  <c r="G424" i="14"/>
  <c r="H412" i="14"/>
  <c r="H420" i="14" s="1"/>
  <c r="H492" i="14"/>
  <c r="G512" i="14"/>
  <c r="E701" i="14" s="1"/>
  <c r="G478" i="14"/>
  <c r="H465" i="14"/>
  <c r="H474" i="14" s="1"/>
  <c r="H478" i="14" s="1"/>
  <c r="G215" i="14"/>
  <c r="H191" i="14"/>
  <c r="G190" i="14"/>
  <c r="H167" i="14"/>
  <c r="F679" i="14"/>
  <c r="G128" i="14"/>
  <c r="H102" i="14"/>
  <c r="O667" i="14"/>
  <c r="G252" i="14"/>
  <c r="H229" i="14"/>
  <c r="G299" i="14"/>
  <c r="H277" i="14"/>
  <c r="H285" i="14" s="1"/>
  <c r="G323" i="14"/>
  <c r="H300" i="14"/>
  <c r="G411" i="14"/>
  <c r="H399" i="14"/>
  <c r="G464" i="14"/>
  <c r="H451" i="14"/>
  <c r="H460" i="14" s="1"/>
  <c r="H464" i="14" s="1"/>
  <c r="H479" i="14"/>
  <c r="H487" i="14" s="1"/>
  <c r="H491" i="14" s="1"/>
  <c r="G491" i="14"/>
  <c r="G385" i="14"/>
  <c r="F683" i="14" s="1"/>
  <c r="H375" i="14"/>
  <c r="G437" i="14"/>
  <c r="H425" i="14"/>
  <c r="H433" i="14" s="1"/>
  <c r="H437" i="14" s="1"/>
  <c r="H513" i="14"/>
  <c r="G534" i="14"/>
  <c r="E700" i="14" s="1"/>
  <c r="G579" i="14"/>
  <c r="E698" i="14" s="1"/>
  <c r="H560" i="14"/>
  <c r="G558" i="14"/>
  <c r="E699" i="14" s="1"/>
  <c r="H535" i="14"/>
  <c r="F711" i="14"/>
  <c r="G711" i="14" s="1"/>
  <c r="H561" i="14"/>
  <c r="F710" i="14"/>
  <c r="G710" i="14" s="1"/>
  <c r="E703" i="14"/>
  <c r="H586" i="14"/>
  <c r="H592" i="14" s="1"/>
  <c r="G614" i="14"/>
  <c r="E702" i="14" s="1"/>
  <c r="H594" i="14"/>
  <c r="H609" i="14" s="1"/>
  <c r="H614" i="14" s="1"/>
  <c r="F714" i="14"/>
  <c r="G714" i="14" s="1"/>
  <c r="G628" i="14"/>
  <c r="F684" i="14" s="1"/>
  <c r="H615" i="14"/>
  <c r="H624" i="14" s="1"/>
  <c r="H129" i="14"/>
  <c r="H137" i="14" s="1"/>
  <c r="H141" i="14" s="1"/>
  <c r="J141" i="14" s="1"/>
  <c r="G141" i="14"/>
  <c r="F681" i="14" s="1"/>
  <c r="F680" i="14"/>
  <c r="H115" i="14"/>
  <c r="H123" i="14" s="1"/>
  <c r="H127" i="14" s="1"/>
  <c r="H43" i="14"/>
  <c r="G450" i="14"/>
  <c r="H438" i="14"/>
  <c r="G166" i="14"/>
  <c r="H142" i="14"/>
  <c r="N665" i="14"/>
  <c r="G276" i="14"/>
  <c r="H253" i="14"/>
  <c r="H324" i="14"/>
  <c r="G333" i="14"/>
  <c r="F691" i="14" s="1"/>
  <c r="G360" i="14"/>
  <c r="F682" i="14" s="1"/>
  <c r="H348" i="14"/>
  <c r="G347" i="14"/>
  <c r="H335" i="14"/>
  <c r="G398" i="14"/>
  <c r="H387" i="14"/>
  <c r="F709" i="14"/>
  <c r="H440" i="14"/>
  <c r="G373" i="14"/>
  <c r="H361" i="14"/>
  <c r="H369" i="14" s="1"/>
  <c r="H373" i="14" s="1"/>
  <c r="F713" i="14"/>
  <c r="G713" i="14" s="1"/>
  <c r="H515" i="14"/>
  <c r="F712" i="14"/>
  <c r="G712" i="14" s="1"/>
  <c r="H537" i="14"/>
  <c r="H156" i="14"/>
  <c r="G101" i="14"/>
  <c r="F678" i="14" s="1"/>
  <c r="H89" i="14"/>
  <c r="H97" i="14" s="1"/>
  <c r="H101" i="14" s="1"/>
  <c r="J101" i="14" s="1"/>
  <c r="H69" i="14"/>
  <c r="M666" i="14"/>
  <c r="H62" i="14"/>
  <c r="H56" i="14"/>
  <c r="G68" i="14"/>
  <c r="F676" i="14" s="1"/>
  <c r="M661" i="14"/>
  <c r="H35" i="14"/>
  <c r="G42" i="14"/>
  <c r="F674" i="14" s="1"/>
  <c r="H29" i="14"/>
  <c r="H38" i="14" s="1"/>
  <c r="H42" i="14" s="1"/>
  <c r="J42" i="14" s="1"/>
  <c r="H51" i="14" l="1"/>
  <c r="H55" i="14" s="1"/>
  <c r="J55" i="14" s="1"/>
  <c r="H512" i="14"/>
  <c r="H78" i="14"/>
  <c r="H88" i="14" s="1"/>
  <c r="J88" i="14" s="1"/>
  <c r="H575" i="14"/>
  <c r="H579" i="14" s="1"/>
  <c r="F698" i="14" s="1"/>
  <c r="H424" i="14"/>
  <c r="H530" i="14"/>
  <c r="H534" i="14" s="1"/>
  <c r="F700" i="14" s="1"/>
  <c r="H628" i="14"/>
  <c r="G684" i="14" s="1"/>
  <c r="K632" i="14"/>
  <c r="K633" i="14" s="1"/>
  <c r="L83" i="14"/>
  <c r="H299" i="14"/>
  <c r="H190" i="14"/>
  <c r="H215" i="14"/>
  <c r="H252" i="14"/>
  <c r="H276" i="14"/>
  <c r="H347" i="14"/>
  <c r="H360" i="14"/>
  <c r="G682" i="14" s="1"/>
  <c r="H554" i="14"/>
  <c r="H446" i="14"/>
  <c r="H450" i="14" s="1"/>
  <c r="F688" i="14"/>
  <c r="G55" i="14"/>
  <c r="F675" i="14" s="1"/>
  <c r="H166" i="14"/>
  <c r="H110" i="14"/>
  <c r="H114" i="14" s="1"/>
  <c r="H64" i="14"/>
  <c r="H68" i="14" s="1"/>
  <c r="G674" i="14"/>
  <c r="N661" i="14"/>
  <c r="N666" i="14"/>
  <c r="G678" i="14"/>
  <c r="H398" i="14"/>
  <c r="O665" i="14"/>
  <c r="G681" i="14"/>
  <c r="F702" i="14"/>
  <c r="F703" i="14"/>
  <c r="E697" i="14"/>
  <c r="E704" i="14" s="1"/>
  <c r="F689" i="14" s="1"/>
  <c r="H671" i="14"/>
  <c r="F716" i="14"/>
  <c r="G709" i="14"/>
  <c r="G716" i="14" s="1"/>
  <c r="H333" i="14"/>
  <c r="G680" i="14"/>
  <c r="H385" i="14"/>
  <c r="G683" i="14" s="1"/>
  <c r="P667" i="14"/>
  <c r="Q667" i="14"/>
  <c r="G679" i="14"/>
  <c r="F701" i="14"/>
  <c r="F685" i="14"/>
  <c r="G675" i="14" l="1"/>
  <c r="G677" i="14"/>
  <c r="G701" i="14"/>
  <c r="G699" i="14"/>
  <c r="L554" i="14"/>
  <c r="G676" i="14"/>
  <c r="J68" i="14"/>
  <c r="H128" i="14"/>
  <c r="J114" i="14"/>
  <c r="H558" i="14"/>
  <c r="F699" i="14" s="1"/>
  <c r="K554" i="14"/>
  <c r="G665" i="14"/>
  <c r="G698" i="14"/>
  <c r="L632" i="14"/>
  <c r="F687" i="14"/>
  <c r="F690" i="14" s="1"/>
  <c r="F692" i="14" s="1"/>
  <c r="F697" i="14"/>
  <c r="G691" i="14"/>
  <c r="G688" i="14"/>
  <c r="P665" i="14"/>
  <c r="Q665" i="14"/>
  <c r="O661" i="14"/>
  <c r="G685" i="14"/>
  <c r="G700" i="14"/>
  <c r="G703" i="14"/>
  <c r="G702" i="14"/>
  <c r="O666" i="14"/>
  <c r="N668" i="14"/>
  <c r="G687" i="14" l="1"/>
  <c r="K614" i="14"/>
  <c r="F704" i="14"/>
  <c r="G689" i="14" s="1"/>
  <c r="G690" i="14" s="1"/>
  <c r="G692" i="14" s="1"/>
  <c r="F693" i="14"/>
  <c r="H665" i="14"/>
  <c r="N655" i="14" s="1"/>
  <c r="N669" i="14" s="1"/>
  <c r="H698" i="14"/>
  <c r="H699" i="14"/>
  <c r="M554" i="14"/>
  <c r="I152" i="14"/>
  <c r="H666" i="14"/>
  <c r="M632" i="14"/>
  <c r="I200" i="14"/>
  <c r="I262" i="14"/>
  <c r="I356" i="14"/>
  <c r="I176" i="14"/>
  <c r="I238" i="14"/>
  <c r="I343" i="14"/>
  <c r="G694" i="14"/>
  <c r="H700" i="14"/>
  <c r="O668" i="14"/>
  <c r="G697" i="14"/>
  <c r="G704" i="14" s="1"/>
  <c r="H701" i="14"/>
  <c r="Q666" i="14"/>
  <c r="P666" i="14"/>
  <c r="H702" i="14"/>
  <c r="H703" i="14"/>
  <c r="P661" i="14"/>
  <c r="Q661" i="14"/>
  <c r="G693" i="14" l="1"/>
  <c r="O655" i="14"/>
  <c r="O669" i="14" s="1"/>
  <c r="P655" i="14"/>
  <c r="I420" i="14"/>
  <c r="I285" i="14"/>
  <c r="I299" i="14" s="1"/>
  <c r="Q668" i="14"/>
  <c r="P668" i="14"/>
  <c r="H697" i="14"/>
  <c r="H704" i="14" s="1"/>
  <c r="P669" i="14" l="1"/>
  <c r="N554" i="14"/>
  <c r="N632" i="14"/>
  <c r="Q655" i="14" l="1"/>
  <c r="Q669" i="14" s="1"/>
  <c r="I665" i="14"/>
</calcChain>
</file>

<file path=xl/sharedStrings.xml><?xml version="1.0" encoding="utf-8"?>
<sst xmlns="http://schemas.openxmlformats.org/spreadsheetml/2006/main" count="2523" uniqueCount="198">
  <si>
    <t>DO: SETOR CONTÁBIL</t>
  </si>
  <si>
    <t xml:space="preserve">PARA: GABINETE DO SECRETÁRIO </t>
  </si>
  <si>
    <t>jan</t>
  </si>
  <si>
    <t>FOLHA =</t>
  </si>
  <si>
    <t>refeisul    =</t>
  </si>
  <si>
    <t>FOLHA:</t>
  </si>
  <si>
    <t>FASM</t>
  </si>
  <si>
    <t>ÓRGÃO:</t>
  </si>
  <si>
    <t>Atividade</t>
  </si>
  <si>
    <t>ELEMENTO</t>
  </si>
  <si>
    <t>DESCRIÇÃO:</t>
  </si>
  <si>
    <t>PROJEÇÃO ANUAL</t>
  </si>
  <si>
    <t>REC:</t>
  </si>
  <si>
    <t>Gabinete</t>
  </si>
  <si>
    <t>Outros benefícios prev</t>
  </si>
  <si>
    <t>Livre</t>
  </si>
  <si>
    <t>3.1.90.11</t>
  </si>
  <si>
    <t>Vencim. Vant.</t>
  </si>
  <si>
    <t xml:space="preserve">3.1.90.13 </t>
  </si>
  <si>
    <t>Obrig. Patron.</t>
  </si>
  <si>
    <t xml:space="preserve">3.1.30.13 </t>
  </si>
  <si>
    <t>3.1.90.16</t>
  </si>
  <si>
    <t>Outras desp variáveis</t>
  </si>
  <si>
    <t>3.1.90.34</t>
  </si>
  <si>
    <t>contr. temp determ</t>
  </si>
  <si>
    <t>3.1.90.94</t>
  </si>
  <si>
    <t>Indeniz. trabalh.</t>
  </si>
  <si>
    <t xml:space="preserve">3.1.91.13 </t>
  </si>
  <si>
    <t>3.3.90.46</t>
  </si>
  <si>
    <t>Aux. Aliment.</t>
  </si>
  <si>
    <t>4.6.91.71 FASM</t>
  </si>
  <si>
    <t>Princ. Divida</t>
  </si>
  <si>
    <t>SMG</t>
  </si>
  <si>
    <t xml:space="preserve">3.1.90.11 </t>
  </si>
  <si>
    <t xml:space="preserve">3.1.90.34 </t>
  </si>
  <si>
    <t xml:space="preserve">3.1.90.94 </t>
  </si>
  <si>
    <t>3.1.91.13</t>
  </si>
  <si>
    <t>SMPMA</t>
  </si>
  <si>
    <t>3.1.90.13</t>
  </si>
  <si>
    <t>SMA</t>
  </si>
  <si>
    <t>32.91.21</t>
  </si>
  <si>
    <t>SMF</t>
  </si>
  <si>
    <t xml:space="preserve">31.90.34 </t>
  </si>
  <si>
    <t>Outras desp contr terc.</t>
  </si>
  <si>
    <t>turismo</t>
  </si>
  <si>
    <t>outras contr</t>
  </si>
  <si>
    <t>cultura</t>
  </si>
  <si>
    <t>OBRAS</t>
  </si>
  <si>
    <t xml:space="preserve">3.1.90.16 </t>
  </si>
  <si>
    <t>Outras desp</t>
  </si>
  <si>
    <t>SEDUC</t>
  </si>
  <si>
    <t>2013 - FUND. 60%</t>
  </si>
  <si>
    <t xml:space="preserve">3.1.90.04 </t>
  </si>
  <si>
    <t>FUNDEB</t>
  </si>
  <si>
    <t xml:space="preserve">3.1.90.92 </t>
  </si>
  <si>
    <t>Deso. Exerc. anteriores</t>
  </si>
  <si>
    <t>LIVRE</t>
  </si>
  <si>
    <t>MDE</t>
  </si>
  <si>
    <t>2.017 CRECHE 60%</t>
  </si>
  <si>
    <t>2.018 CRECHE 40%</t>
  </si>
  <si>
    <t>2123 - ed. Publ</t>
  </si>
  <si>
    <t>3.1.90.04</t>
  </si>
  <si>
    <t>brasil car</t>
  </si>
  <si>
    <t>2022 – EJA 60%</t>
  </si>
  <si>
    <t>2023 – EJA 40%</t>
  </si>
  <si>
    <t>2.015 PRE - 60%</t>
  </si>
  <si>
    <t>2.016 PRE - 40%</t>
  </si>
  <si>
    <t>2014 - FUNDAM.40%</t>
  </si>
  <si>
    <t>2.014 - FUND. 40%MDE</t>
  </si>
  <si>
    <t>2.014 -FUND. 40% OUTROS</t>
  </si>
  <si>
    <t>2.245 -GABINETE MDE</t>
  </si>
  <si>
    <t>2.248 -GABINETE LIVRE</t>
  </si>
  <si>
    <t>2.021 -ESPEC. 60%</t>
  </si>
  <si>
    <t>2.247 -ESP. 40%</t>
  </si>
  <si>
    <t>SMS</t>
  </si>
  <si>
    <t>contrt tempo det.</t>
  </si>
  <si>
    <t>ASPS</t>
  </si>
  <si>
    <t>Outras desp de pessoal</t>
  </si>
  <si>
    <t>POLICLINICA-2.239</t>
  </si>
  <si>
    <t>VIGILÃNCIA-2.151</t>
  </si>
  <si>
    <t>CBA-2.148</t>
  </si>
  <si>
    <t>FARMACIA-2.144</t>
  </si>
  <si>
    <t>3.1.90.92</t>
  </si>
  <si>
    <t>Desp. Exer. Anter.</t>
  </si>
  <si>
    <t>caps2028</t>
  </si>
  <si>
    <t>Outras  desp pessoal</t>
  </si>
  <si>
    <t>psf 2026</t>
  </si>
  <si>
    <t>Outras desp. variav.</t>
  </si>
  <si>
    <t>asps</t>
  </si>
  <si>
    <t>ENDEMIAS</t>
  </si>
  <si>
    <t>COVID</t>
  </si>
  <si>
    <t>encargos</t>
  </si>
  <si>
    <t>jari</t>
  </si>
  <si>
    <t>enc. Pensão</t>
  </si>
  <si>
    <t>0.001</t>
  </si>
  <si>
    <t>pensão</t>
  </si>
  <si>
    <t xml:space="preserve">3.3.90.46 </t>
  </si>
  <si>
    <t xml:space="preserve">31.90.94 </t>
  </si>
  <si>
    <t>SMAS</t>
  </si>
  <si>
    <t xml:space="preserve">3.1.90.08 </t>
  </si>
  <si>
    <t>Outros benefícios assist</t>
  </si>
  <si>
    <t>contrat. Por tempo determinado</t>
  </si>
  <si>
    <t>CRAS</t>
  </si>
  <si>
    <t>CREAS</t>
  </si>
  <si>
    <t>ABRIGO - 2160</t>
  </si>
  <si>
    <t>livre</t>
  </si>
  <si>
    <t>SEAGROPIC</t>
  </si>
  <si>
    <t>Outras desp varia</t>
  </si>
  <si>
    <t>Contrat p/ tempo determ</t>
  </si>
  <si>
    <t>TOTAL GERAL</t>
  </si>
  <si>
    <t>inativos</t>
  </si>
  <si>
    <t>3.1.90.01.01</t>
  </si>
  <si>
    <t>RPPS</t>
  </si>
  <si>
    <t>pensionistas</t>
  </si>
  <si>
    <t>3.1.90.03.01</t>
  </si>
  <si>
    <t>2 – SALDO POR SECRETARIA</t>
  </si>
  <si>
    <t>ÓRGÃOS</t>
  </si>
  <si>
    <t>TOTAL</t>
  </si>
  <si>
    <t>SGM</t>
  </si>
  <si>
    <t>SMCP</t>
  </si>
  <si>
    <t>SMTur</t>
  </si>
  <si>
    <t>CULTURA</t>
  </si>
  <si>
    <t>SMTSUI</t>
  </si>
  <si>
    <t>SMEC (outros)</t>
  </si>
  <si>
    <t>GABIN</t>
  </si>
  <si>
    <t>SMAg</t>
  </si>
  <si>
    <t>Encargos</t>
  </si>
  <si>
    <t>* SAUDE</t>
  </si>
  <si>
    <t>Subtotal</t>
  </si>
  <si>
    <t>* SAÚDE POR PROGRAMA</t>
  </si>
  <si>
    <t>RECURSOS</t>
  </si>
  <si>
    <t>BUCAL</t>
  </si>
  <si>
    <t>4500/ 4090/ 4011</t>
  </si>
  <si>
    <t>PSF</t>
  </si>
  <si>
    <t>4090/4500/4011</t>
  </si>
  <si>
    <t>CAPS</t>
  </si>
  <si>
    <t>4501 / 4220/4011</t>
  </si>
  <si>
    <t>ACS</t>
  </si>
  <si>
    <t>4500 / 4090 / 4011</t>
  </si>
  <si>
    <t>SAMU</t>
  </si>
  <si>
    <t>4501 / 4170</t>
  </si>
  <si>
    <t>TOTAL:</t>
  </si>
  <si>
    <t>2021 ----&gt;</t>
  </si>
  <si>
    <t>3.3.90.08</t>
  </si>
  <si>
    <t>3.3.91.08</t>
  </si>
  <si>
    <t>SALARIO</t>
  </si>
  <si>
    <t>REFEISUL</t>
  </si>
  <si>
    <t>FOLHA ABRIL</t>
  </si>
  <si>
    <t>PROJEÇÃO 2022</t>
  </si>
  <si>
    <t xml:space="preserve">Reposição salarial: </t>
  </si>
  <si>
    <t>Aliquota passivo atuarial</t>
  </si>
  <si>
    <t xml:space="preserve">Alíquota Encargo Patronal: </t>
  </si>
  <si>
    <t>Indicador</t>
  </si>
  <si>
    <t>INFLAÇÃO MÉDIA ANUAL   (I P C A)</t>
  </si>
  <si>
    <t xml:space="preserve">VARIAÇÃODO PIB </t>
  </si>
  <si>
    <t>CRESCIMENTO VEGETATIVO DA FOLHA SALARIAL</t>
  </si>
  <si>
    <t>CRESCIMENTO VEGETATIVO DE OUTRAS DESP DE CUSTEIO</t>
  </si>
  <si>
    <t>EXPECTATIVA DE CRESCIMENTO MÉDIO DA ARRECADAÇÃO TRIBUTÁRIA PRÓPRIA</t>
  </si>
  <si>
    <t>EXPECTATIVA DE CRESCIMENTO DAS TRANSF.CONSTITUCIONAIS DA UNIÃO</t>
  </si>
  <si>
    <t>EXPECTATIVA DE CRESCIMENTO DAS TRANSF.CONSTITUCIONAIS DO ESTADO</t>
  </si>
  <si>
    <t>PERCENTUAL DE AUMENTO SALARIAL - EXECUTVO (ACIMA DO IPCA)</t>
  </si>
  <si>
    <t>PERCENTUAL DE AUMENTO SALARIAL - LEGISLATIVO (ACIMA DO IPCA)</t>
  </si>
  <si>
    <t>LIQ. ATÉ ABRIL/4</t>
  </si>
  <si>
    <t>DATA: 20/05/2021</t>
  </si>
  <si>
    <t>ENCARGOS</t>
  </si>
  <si>
    <t>FOLHA</t>
  </si>
  <si>
    <t>ASPS E VINCULADOS</t>
  </si>
  <si>
    <t>4500 / 4511/4001</t>
  </si>
  <si>
    <t>RELATÓRIO DE PROJEÇÃO PARA FOLHA DO RPPS DE 2022 A 2025</t>
  </si>
  <si>
    <t>Município de Caçapava do Sul</t>
  </si>
  <si>
    <t xml:space="preserve">Parâmentos Utilizados nas Estimativas </t>
  </si>
  <si>
    <t>projeção liquidado</t>
  </si>
  <si>
    <t>3.1.91.13.08</t>
  </si>
  <si>
    <t>3.1.91.13.20</t>
  </si>
  <si>
    <t>Passivo atuarial</t>
  </si>
  <si>
    <t>Educação</t>
  </si>
  <si>
    <t>BASE: Folha de pagamento de abril/2021</t>
  </si>
  <si>
    <t>MÊS</t>
  </si>
  <si>
    <t>ENC PATR. PENSIONISTA</t>
  </si>
  <si>
    <t>PASSIVO ATUARIAL</t>
  </si>
  <si>
    <t>SALÁRIO FAMÍLIA</t>
  </si>
  <si>
    <t>IRRF</t>
  </si>
  <si>
    <t>LIMITE DE GASTOS COM PESSOAL</t>
  </si>
  <si>
    <t>TOTAL DEDUÇÕES</t>
  </si>
  <si>
    <t>TOTAL GERAL FOLHA</t>
  </si>
  <si>
    <t>TOTAL DA DESPESA COM PESSOAL</t>
  </si>
  <si>
    <t>até aqui</t>
  </si>
  <si>
    <t>2.019 -GABINETE MDE</t>
  </si>
  <si>
    <t>2.020 -GABINETE LIVRE</t>
  </si>
  <si>
    <t>2032 - espec.</t>
  </si>
  <si>
    <t>ATE AQUI</t>
  </si>
  <si>
    <t>0.003</t>
  </si>
  <si>
    <t>PASSIVO CÂMARA</t>
  </si>
  <si>
    <t>CRIAR</t>
  </si>
  <si>
    <t>3.1.90.91</t>
  </si>
  <si>
    <t>CAMARA PARA ENCARGOS</t>
  </si>
  <si>
    <t xml:space="preserve">LEI DE DIRETRIZES ORÇAMENTÁRIAS 2022 </t>
  </si>
  <si>
    <t xml:space="preserve">1 - RELATÓRIO DE PROJEÇÃO PARA FOLHA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</si>
</sst>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 &quot;R$&quot;\ * #,##0.00_ ;_ &quot;R$&quot;\ * \-#,##0.00_ ;_ &quot;R$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 * #,##0.00_ ;_ * \-#,##0.00_ ;_ * \-??_ ;_ @_ "/>
    <numFmt numFmtId="166" formatCode="#,##0.00_ ;[Red]\-#,##0.00\ "/>
    <numFmt numFmtId="167" formatCode="_(* #,##0.00_);_(* \(#,##0.00\);_(* \-??_);_(@_)"/>
    <numFmt numFmtId="168" formatCode="0.0000"/>
    <numFmt numFmtId="169" formatCode="_ * #,##0.000_ ;_ * \-#,##0.000_ ;_ * &quot;-&quot;??_ ;_ @_ "/>
    <numFmt numFmtId="170" formatCode="#,##0.000"/>
    <numFmt numFmtId="171" formatCode="_(&quot;R$&quot;* #,##0.00_);_(&quot;R$&quot;* \(#,##0.00\);_(&quot;R$&quot;* &quot;-&quot;??_);_(@_)"/>
    <numFmt numFmtId="175" formatCode="#,##0.0000"/>
    <numFmt numFmtId="177" formatCode="#,##0_ ;\-#,##0\ "/>
    <numFmt numFmtId="178" formatCode="#,##0.0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8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indexed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indexed="8"/>
      <name val="Calibri"/>
      <family val="2"/>
    </font>
    <font>
      <sz val="8"/>
      <name val="Calibri"/>
      <family val="2"/>
    </font>
    <font>
      <sz val="7"/>
      <name val="Arial"/>
      <family val="2"/>
    </font>
    <font>
      <sz val="6"/>
      <name val="Calibri"/>
      <family val="2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8"/>
      <color theme="8" tint="-0.249977111117893"/>
      <name val="Calibri"/>
      <family val="2"/>
      <scheme val="minor"/>
    </font>
    <font>
      <b/>
      <u/>
      <sz val="8"/>
      <color theme="8" tint="-0.249977111117893"/>
      <name val="Arial"/>
      <family val="2"/>
    </font>
    <font>
      <sz val="9"/>
      <color theme="8" tint="-0.249977111117893"/>
      <name val="Arial"/>
      <family val="2"/>
    </font>
    <font>
      <sz val="8"/>
      <color theme="8" tint="-0.249977111117893"/>
      <name val="Arial"/>
      <family val="2"/>
    </font>
    <font>
      <b/>
      <sz val="8"/>
      <color theme="8" tint="-0.249977111117893"/>
      <name val="Arial"/>
      <family val="2"/>
    </font>
    <font>
      <sz val="8"/>
      <color theme="8" tint="-0.249977111117893"/>
      <name val="Calibri"/>
      <family val="2"/>
    </font>
    <font>
      <b/>
      <sz val="8"/>
      <color theme="8" tint="-0.249977111117893"/>
      <name val="Calibri"/>
      <family val="2"/>
      <scheme val="minor"/>
    </font>
    <font>
      <b/>
      <sz val="8"/>
      <color theme="8" tint="-0.249977111117893"/>
      <name val="Calibri"/>
      <family val="2"/>
    </font>
    <font>
      <b/>
      <sz val="11"/>
      <color theme="8" tint="-0.249977111117893"/>
      <name val="Arial"/>
      <family val="2"/>
    </font>
    <font>
      <b/>
      <sz val="11"/>
      <color rgb="FF0070C0"/>
      <name val="Calibri"/>
      <family val="2"/>
      <scheme val="minor"/>
    </font>
    <font>
      <b/>
      <sz val="7"/>
      <color theme="8" tint="-0.249977111117893"/>
      <name val="Arial"/>
      <family val="2"/>
    </font>
    <font>
      <sz val="8"/>
      <color rgb="FF0070C0"/>
      <name val="Calibri"/>
      <family val="2"/>
    </font>
    <font>
      <sz val="8"/>
      <color rgb="FF0070C0"/>
      <name val="Calibri"/>
      <family val="2"/>
      <scheme val="minor"/>
    </font>
    <font>
      <sz val="9"/>
      <color rgb="FFFF0000"/>
      <name val="Arial"/>
      <family val="2"/>
    </font>
    <font>
      <b/>
      <u/>
      <sz val="8"/>
      <color rgb="FF0070C0"/>
      <name val="Arial"/>
      <family val="2"/>
    </font>
    <font>
      <sz val="9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1"/>
      <color rgb="FF0070C0"/>
      <name val="Calibri"/>
      <family val="2"/>
      <scheme val="minor"/>
    </font>
    <font>
      <sz val="7"/>
      <color rgb="FF0070C0"/>
      <name val="Arial"/>
      <family val="2"/>
    </font>
    <font>
      <b/>
      <sz val="7"/>
      <color rgb="FF0070C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DDDDDD"/>
        <bgColor rgb="FFFFCC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52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39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3" fillId="4" borderId="0" applyBorder="0" applyProtection="0"/>
    <xf numFmtId="44" fontId="1" fillId="0" borderId="0" applyFont="0" applyFill="0" applyBorder="0" applyAlignment="0" applyProtection="0"/>
  </cellStyleXfs>
  <cellXfs count="264">
    <xf numFmtId="0" fontId="0" fillId="0" borderId="0" xfId="0"/>
    <xf numFmtId="0" fontId="2" fillId="2" borderId="0" xfId="1" applyFont="1" applyFill="1"/>
    <xf numFmtId="0" fontId="3" fillId="2" borderId="0" xfId="1" applyFont="1" applyFill="1"/>
    <xf numFmtId="3" fontId="4" fillId="2" borderId="0" xfId="1" applyNumberFormat="1" applyFont="1" applyFill="1"/>
    <xf numFmtId="4" fontId="4" fillId="2" borderId="0" xfId="1" applyNumberFormat="1" applyFont="1" applyFill="1"/>
    <xf numFmtId="0" fontId="4" fillId="2" borderId="0" xfId="1" applyFont="1" applyFill="1"/>
    <xf numFmtId="0" fontId="4" fillId="0" borderId="0" xfId="0" applyFont="1"/>
    <xf numFmtId="0" fontId="5" fillId="2" borderId="0" xfId="1" applyFont="1" applyFill="1"/>
    <xf numFmtId="1" fontId="5" fillId="2" borderId="0" xfId="1" applyNumberFormat="1" applyFont="1" applyFill="1" applyAlignment="1">
      <alignment horizontal="center"/>
    </xf>
    <xf numFmtId="1" fontId="6" fillId="2" borderId="0" xfId="1" applyNumberFormat="1" applyFont="1" applyFill="1" applyAlignment="1">
      <alignment horizontal="center"/>
    </xf>
    <xf numFmtId="165" fontId="6" fillId="2" borderId="0" xfId="2" applyNumberFormat="1" applyFont="1" applyFill="1"/>
    <xf numFmtId="0" fontId="8" fillId="0" borderId="0" xfId="1" applyFont="1"/>
    <xf numFmtId="0" fontId="6" fillId="2" borderId="0" xfId="1" applyFont="1" applyFill="1"/>
    <xf numFmtId="167" fontId="6" fillId="2" borderId="0" xfId="2" applyNumberFormat="1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3" fontId="4" fillId="2" borderId="0" xfId="1" applyNumberFormat="1" applyFont="1" applyFill="1" applyAlignment="1">
      <alignment horizontal="right"/>
    </xf>
    <xf numFmtId="168" fontId="4" fillId="2" borderId="0" xfId="1" applyNumberFormat="1" applyFont="1" applyFill="1"/>
    <xf numFmtId="4" fontId="4" fillId="0" borderId="0" xfId="0" applyNumberFormat="1" applyFont="1"/>
    <xf numFmtId="0" fontId="2" fillId="2" borderId="3" xfId="1" applyFont="1" applyFill="1" applyBorder="1"/>
    <xf numFmtId="0" fontId="2" fillId="2" borderId="3" xfId="1" applyFont="1" applyFill="1" applyBorder="1" applyAlignment="1">
      <alignment horizontal="center"/>
    </xf>
    <xf numFmtId="1" fontId="6" fillId="2" borderId="3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right"/>
    </xf>
    <xf numFmtId="169" fontId="4" fillId="2" borderId="0" xfId="1" applyNumberFormat="1" applyFont="1" applyFill="1"/>
    <xf numFmtId="3" fontId="2" fillId="2" borderId="3" xfId="1" applyNumberFormat="1" applyFont="1" applyFill="1" applyBorder="1"/>
    <xf numFmtId="167" fontId="2" fillId="2" borderId="3" xfId="2" applyNumberFormat="1" applyFont="1" applyFill="1" applyBorder="1"/>
    <xf numFmtId="1" fontId="6" fillId="2" borderId="3" xfId="2" applyNumberFormat="1" applyFont="1" applyFill="1" applyBorder="1" applyAlignment="1">
      <alignment horizontal="center"/>
    </xf>
    <xf numFmtId="165" fontId="9" fillId="2" borderId="3" xfId="1" applyNumberFormat="1" applyFont="1" applyFill="1" applyBorder="1"/>
    <xf numFmtId="170" fontId="4" fillId="2" borderId="0" xfId="1" applyNumberFormat="1" applyFont="1" applyFill="1"/>
    <xf numFmtId="10" fontId="4" fillId="0" borderId="0" xfId="0" applyNumberFormat="1" applyFont="1"/>
    <xf numFmtId="170" fontId="4" fillId="0" borderId="0" xfId="0" applyNumberFormat="1" applyFont="1"/>
    <xf numFmtId="40" fontId="7" fillId="2" borderId="3" xfId="1" applyNumberFormat="1" applyFont="1" applyFill="1" applyBorder="1"/>
    <xf numFmtId="0" fontId="6" fillId="2" borderId="3" xfId="1" applyFont="1" applyFill="1" applyBorder="1" applyAlignment="1">
      <alignment horizontal="center"/>
    </xf>
    <xf numFmtId="171" fontId="4" fillId="0" borderId="0" xfId="3" applyFont="1"/>
    <xf numFmtId="3" fontId="4" fillId="0" borderId="0" xfId="0" applyNumberFormat="1" applyFont="1"/>
    <xf numFmtId="166" fontId="4" fillId="0" borderId="0" xfId="0" applyNumberFormat="1" applyFont="1"/>
    <xf numFmtId="1" fontId="11" fillId="2" borderId="3" xfId="2" applyNumberFormat="1" applyFont="1" applyFill="1" applyBorder="1" applyAlignment="1">
      <alignment horizontal="center"/>
    </xf>
    <xf numFmtId="1" fontId="11" fillId="2" borderId="3" xfId="1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right"/>
    </xf>
    <xf numFmtId="0" fontId="6" fillId="2" borderId="3" xfId="1" applyFont="1" applyFill="1" applyBorder="1"/>
    <xf numFmtId="3" fontId="6" fillId="2" borderId="3" xfId="1" applyNumberFormat="1" applyFont="1" applyFill="1" applyBorder="1"/>
    <xf numFmtId="167" fontId="6" fillId="2" borderId="3" xfId="2" applyNumberFormat="1" applyFont="1" applyFill="1" applyBorder="1"/>
    <xf numFmtId="3" fontId="6" fillId="2" borderId="0" xfId="1" applyNumberFormat="1" applyFont="1" applyFill="1"/>
    <xf numFmtId="0" fontId="2" fillId="2" borderId="0" xfId="1" applyFont="1" applyFill="1" applyAlignment="1">
      <alignment horizontal="center"/>
    </xf>
    <xf numFmtId="3" fontId="6" fillId="2" borderId="7" xfId="1" applyNumberFormat="1" applyFont="1" applyFill="1" applyBorder="1"/>
    <xf numFmtId="167" fontId="6" fillId="2" borderId="0" xfId="2" applyNumberFormat="1" applyFont="1" applyFill="1"/>
    <xf numFmtId="0" fontId="4" fillId="0" borderId="6" xfId="0" applyFont="1" applyBorder="1"/>
    <xf numFmtId="0" fontId="2" fillId="2" borderId="9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0" borderId="3" xfId="1" applyFont="1" applyBorder="1"/>
    <xf numFmtId="166" fontId="13" fillId="2" borderId="3" xfId="1" applyNumberFormat="1" applyFont="1" applyFill="1" applyBorder="1" applyAlignment="1">
      <alignment horizontal="center"/>
    </xf>
    <xf numFmtId="166" fontId="4" fillId="2" borderId="0" xfId="1" applyNumberFormat="1" applyFont="1" applyFill="1"/>
    <xf numFmtId="0" fontId="2" fillId="0" borderId="7" xfId="1" applyFont="1" applyBorder="1"/>
    <xf numFmtId="166" fontId="13" fillId="2" borderId="7" xfId="1" applyNumberFormat="1" applyFont="1" applyFill="1" applyBorder="1" applyAlignment="1">
      <alignment horizontal="center"/>
    </xf>
    <xf numFmtId="0" fontId="2" fillId="0" borderId="6" xfId="1" applyFont="1" applyBorder="1"/>
    <xf numFmtId="166" fontId="13" fillId="2" borderId="6" xfId="1" applyNumberFormat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166" fontId="14" fillId="2" borderId="9" xfId="2" applyNumberFormat="1" applyFont="1" applyFill="1" applyBorder="1"/>
    <xf numFmtId="0" fontId="6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165" fontId="10" fillId="2" borderId="3" xfId="2" applyNumberFormat="1" applyFont="1" applyFill="1" applyBorder="1"/>
    <xf numFmtId="0" fontId="6" fillId="2" borderId="14" xfId="1" applyFont="1" applyFill="1" applyBorder="1" applyAlignment="1">
      <alignment horizontal="center"/>
    </xf>
    <xf numFmtId="165" fontId="10" fillId="2" borderId="15" xfId="2" applyNumberFormat="1" applyFont="1" applyFill="1" applyBorder="1"/>
    <xf numFmtId="0" fontId="6" fillId="2" borderId="16" xfId="1" applyFont="1" applyFill="1" applyBorder="1" applyAlignment="1">
      <alignment horizontal="center"/>
    </xf>
    <xf numFmtId="165" fontId="15" fillId="2" borderId="17" xfId="2" applyNumberFormat="1" applyFont="1" applyFill="1" applyBorder="1"/>
    <xf numFmtId="0" fontId="2" fillId="2" borderId="19" xfId="1" applyFont="1" applyFill="1" applyBorder="1"/>
    <xf numFmtId="40" fontId="4" fillId="2" borderId="2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0" borderId="0" xfId="1" applyFont="1"/>
    <xf numFmtId="167" fontId="6" fillId="2" borderId="3" xfId="1" applyNumberFormat="1" applyFont="1" applyFill="1" applyBorder="1"/>
    <xf numFmtId="0" fontId="2" fillId="2" borderId="1" xfId="1" applyFont="1" applyFill="1" applyBorder="1" applyAlignment="1">
      <alignment horizontal="right"/>
    </xf>
    <xf numFmtId="0" fontId="2" fillId="2" borderId="7" xfId="1" applyFont="1" applyFill="1" applyBorder="1" applyAlignment="1">
      <alignment horizontal="center"/>
    </xf>
    <xf numFmtId="165" fontId="2" fillId="2" borderId="17" xfId="2" applyNumberFormat="1" applyFont="1" applyFill="1" applyBorder="1"/>
    <xf numFmtId="0" fontId="4" fillId="2" borderId="6" xfId="1" applyFont="1" applyFill="1" applyBorder="1"/>
    <xf numFmtId="0" fontId="2" fillId="2" borderId="17" xfId="1" applyFont="1" applyFill="1" applyBorder="1" applyAlignment="1">
      <alignment horizontal="center"/>
    </xf>
    <xf numFmtId="164" fontId="3" fillId="0" borderId="0" xfId="1" applyNumberFormat="1" applyFont="1"/>
    <xf numFmtId="165" fontId="6" fillId="2" borderId="3" xfId="2" applyNumberFormat="1" applyFont="1" applyFill="1" applyBorder="1"/>
    <xf numFmtId="9" fontId="4" fillId="0" borderId="0" xfId="4" applyFont="1"/>
    <xf numFmtId="175" fontId="4" fillId="2" borderId="0" xfId="1" applyNumberFormat="1" applyFont="1" applyFill="1"/>
    <xf numFmtId="164" fontId="4" fillId="0" borderId="0" xfId="0" applyNumberFormat="1" applyFont="1"/>
    <xf numFmtId="0" fontId="2" fillId="2" borderId="6" xfId="1" applyFont="1" applyFill="1" applyBorder="1" applyAlignment="1">
      <alignment horizontal="center"/>
    </xf>
    <xf numFmtId="1" fontId="16" fillId="2" borderId="0" xfId="1" applyNumberFormat="1" applyFont="1" applyFill="1" applyAlignment="1">
      <alignment horizontal="center"/>
    </xf>
    <xf numFmtId="0" fontId="19" fillId="0" borderId="0" xfId="0" applyFont="1"/>
    <xf numFmtId="164" fontId="4" fillId="2" borderId="0" xfId="1" applyNumberFormat="1" applyFont="1" applyFill="1"/>
    <xf numFmtId="4" fontId="18" fillId="0" borderId="0" xfId="0" applyNumberFormat="1" applyFont="1"/>
    <xf numFmtId="165" fontId="9" fillId="2" borderId="0" xfId="1" applyNumberFormat="1" applyFont="1" applyFill="1" applyBorder="1"/>
    <xf numFmtId="1" fontId="6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/>
    <xf numFmtId="0" fontId="6" fillId="2" borderId="4" xfId="1" applyFont="1" applyFill="1" applyBorder="1"/>
    <xf numFmtId="0" fontId="2" fillId="2" borderId="24" xfId="1" applyFont="1" applyFill="1" applyBorder="1"/>
    <xf numFmtId="0" fontId="2" fillId="2" borderId="25" xfId="1" applyFont="1" applyFill="1" applyBorder="1"/>
    <xf numFmtId="1" fontId="6" fillId="2" borderId="25" xfId="1" applyNumberFormat="1" applyFont="1" applyFill="1" applyBorder="1" applyAlignment="1">
      <alignment horizontal="center"/>
    </xf>
    <xf numFmtId="165" fontId="6" fillId="2" borderId="22" xfId="2" applyNumberFormat="1" applyFont="1" applyFill="1" applyBorder="1" applyAlignment="1">
      <alignment horizontal="center"/>
    </xf>
    <xf numFmtId="4" fontId="2" fillId="2" borderId="5" xfId="1" applyNumberFormat="1" applyFont="1" applyFill="1" applyBorder="1"/>
    <xf numFmtId="9" fontId="6" fillId="2" borderId="6" xfId="4" applyFont="1" applyFill="1" applyBorder="1" applyAlignment="1"/>
    <xf numFmtId="0" fontId="24" fillId="0" borderId="0" xfId="0" applyFont="1"/>
    <xf numFmtId="0" fontId="25" fillId="6" borderId="6" xfId="0" applyFont="1" applyFill="1" applyBorder="1" applyAlignment="1">
      <alignment horizontal="center"/>
    </xf>
    <xf numFmtId="10" fontId="26" fillId="8" borderId="6" xfId="0" applyNumberFormat="1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7" borderId="6" xfId="0" applyFont="1" applyFill="1" applyBorder="1" applyAlignment="1" applyProtection="1">
      <alignment horizontal="right"/>
      <protection locked="0"/>
    </xf>
    <xf numFmtId="0" fontId="29" fillId="7" borderId="6" xfId="0" applyFont="1" applyFill="1" applyBorder="1" applyAlignment="1">
      <alignment horizontal="right"/>
    </xf>
    <xf numFmtId="0" fontId="29" fillId="9" borderId="6" xfId="0" applyFont="1" applyFill="1" applyBorder="1" applyAlignment="1">
      <alignment horizontal="right"/>
    </xf>
    <xf numFmtId="165" fontId="16" fillId="2" borderId="0" xfId="1" applyNumberFormat="1" applyFont="1" applyFill="1"/>
    <xf numFmtId="0" fontId="17" fillId="2" borderId="6" xfId="1" applyFont="1" applyFill="1" applyBorder="1" applyAlignment="1">
      <alignment horizontal="left"/>
    </xf>
    <xf numFmtId="165" fontId="6" fillId="10" borderId="3" xfId="1" applyNumberFormat="1" applyFont="1" applyFill="1" applyBorder="1"/>
    <xf numFmtId="166" fontId="6" fillId="10" borderId="3" xfId="1" applyNumberFormat="1" applyFont="1" applyFill="1" applyBorder="1"/>
    <xf numFmtId="3" fontId="12" fillId="2" borderId="0" xfId="1" applyNumberFormat="1" applyFont="1" applyFill="1"/>
    <xf numFmtId="4" fontId="12" fillId="0" borderId="0" xfId="0" applyNumberFormat="1" applyFont="1"/>
    <xf numFmtId="0" fontId="12" fillId="0" borderId="0" xfId="0" applyFont="1"/>
    <xf numFmtId="0" fontId="2" fillId="10" borderId="3" xfId="1" applyFont="1" applyFill="1" applyBorder="1"/>
    <xf numFmtId="3" fontId="2" fillId="10" borderId="3" xfId="1" applyNumberFormat="1" applyFont="1" applyFill="1" applyBorder="1"/>
    <xf numFmtId="167" fontId="2" fillId="10" borderId="3" xfId="2" applyNumberFormat="1" applyFont="1" applyFill="1" applyBorder="1"/>
    <xf numFmtId="1" fontId="6" fillId="10" borderId="3" xfId="2" applyNumberFormat="1" applyFont="1" applyFill="1" applyBorder="1" applyAlignment="1">
      <alignment horizontal="center"/>
    </xf>
    <xf numFmtId="0" fontId="6" fillId="10" borderId="3" xfId="1" applyFont="1" applyFill="1" applyBorder="1"/>
    <xf numFmtId="3" fontId="6" fillId="10" borderId="3" xfId="1" applyNumberFormat="1" applyFont="1" applyFill="1" applyBorder="1"/>
    <xf numFmtId="167" fontId="6" fillId="10" borderId="3" xfId="2" applyNumberFormat="1" applyFont="1" applyFill="1" applyBorder="1"/>
    <xf numFmtId="0" fontId="2" fillId="10" borderId="3" xfId="1" applyFont="1" applyFill="1" applyBorder="1" applyAlignment="1">
      <alignment horizontal="center"/>
    </xf>
    <xf numFmtId="1" fontId="6" fillId="10" borderId="3" xfId="1" applyNumberFormat="1" applyFont="1" applyFill="1" applyBorder="1" applyAlignment="1">
      <alignment horizontal="center"/>
    </xf>
    <xf numFmtId="0" fontId="31" fillId="2" borderId="0" xfId="1" applyFont="1" applyFill="1"/>
    <xf numFmtId="0" fontId="32" fillId="0" borderId="0" xfId="0" applyFont="1"/>
    <xf numFmtId="165" fontId="34" fillId="2" borderId="0" xfId="2" applyNumberFormat="1" applyFont="1" applyFill="1"/>
    <xf numFmtId="40" fontId="34" fillId="10" borderId="3" xfId="1" applyNumberFormat="1" applyFont="1" applyFill="1" applyBorder="1"/>
    <xf numFmtId="165" fontId="34" fillId="10" borderId="3" xfId="1" applyNumberFormat="1" applyFont="1" applyFill="1" applyBorder="1"/>
    <xf numFmtId="165" fontId="33" fillId="10" borderId="3" xfId="1" applyNumberFormat="1" applyFont="1" applyFill="1" applyBorder="1"/>
    <xf numFmtId="167" fontId="33" fillId="10" borderId="3" xfId="1" applyNumberFormat="1" applyFont="1" applyFill="1" applyBorder="1"/>
    <xf numFmtId="0" fontId="35" fillId="0" borderId="0" xfId="0" applyFont="1"/>
    <xf numFmtId="165" fontId="35" fillId="2" borderId="6" xfId="1" applyNumberFormat="1" applyFont="1" applyFill="1" applyBorder="1"/>
    <xf numFmtId="165" fontId="36" fillId="2" borderId="0" xfId="1" applyNumberFormat="1" applyFont="1" applyFill="1"/>
    <xf numFmtId="165" fontId="34" fillId="2" borderId="22" xfId="2" applyNumberFormat="1" applyFont="1" applyFill="1" applyBorder="1" applyAlignment="1">
      <alignment horizontal="center"/>
    </xf>
    <xf numFmtId="165" fontId="34" fillId="2" borderId="3" xfId="1" applyNumberFormat="1" applyFont="1" applyFill="1" applyBorder="1"/>
    <xf numFmtId="40" fontId="34" fillId="2" borderId="3" xfId="1" applyNumberFormat="1" applyFont="1" applyFill="1" applyBorder="1"/>
    <xf numFmtId="0" fontId="31" fillId="2" borderId="0" xfId="1" applyFont="1" applyFill="1" applyAlignment="1">
      <alignment horizontal="center"/>
    </xf>
    <xf numFmtId="0" fontId="30" fillId="2" borderId="6" xfId="1" applyFont="1" applyFill="1" applyBorder="1" applyAlignment="1">
      <alignment horizontal="right"/>
    </xf>
    <xf numFmtId="0" fontId="30" fillId="2" borderId="6" xfId="1" applyFont="1" applyFill="1" applyBorder="1" applyAlignment="1">
      <alignment horizontal="left"/>
    </xf>
    <xf numFmtId="0" fontId="30" fillId="2" borderId="0" xfId="1" applyFont="1" applyFill="1"/>
    <xf numFmtId="165" fontId="35" fillId="0" borderId="0" xfId="0" applyNumberFormat="1" applyFont="1"/>
    <xf numFmtId="164" fontId="35" fillId="0" borderId="6" xfId="0" applyNumberFormat="1" applyFont="1" applyBorder="1"/>
    <xf numFmtId="165" fontId="2" fillId="2" borderId="18" xfId="2" applyNumberFormat="1" applyFont="1" applyFill="1" applyBorder="1"/>
    <xf numFmtId="4" fontId="0" fillId="0" borderId="0" xfId="0" applyNumberFormat="1"/>
    <xf numFmtId="9" fontId="38" fillId="2" borderId="0" xfId="4" applyFont="1" applyFill="1" applyBorder="1" applyAlignment="1"/>
    <xf numFmtId="10" fontId="39" fillId="0" borderId="0" xfId="4" applyNumberFormat="1" applyFont="1"/>
    <xf numFmtId="0" fontId="6" fillId="2" borderId="33" xfId="1" applyFont="1" applyFill="1" applyBorder="1"/>
    <xf numFmtId="3" fontId="6" fillId="2" borderId="34" xfId="1" applyNumberFormat="1" applyFont="1" applyFill="1" applyBorder="1"/>
    <xf numFmtId="167" fontId="6" fillId="2" borderId="35" xfId="2" applyNumberFormat="1" applyFont="1" applyFill="1" applyBorder="1"/>
    <xf numFmtId="1" fontId="6" fillId="2" borderId="32" xfId="1" applyNumberFormat="1" applyFont="1" applyFill="1" applyBorder="1" applyAlignment="1">
      <alignment horizontal="center"/>
    </xf>
    <xf numFmtId="0" fontId="4" fillId="0" borderId="23" xfId="0" applyFont="1" applyBorder="1"/>
    <xf numFmtId="165" fontId="33" fillId="2" borderId="36" xfId="1" applyNumberFormat="1" applyFont="1" applyFill="1" applyBorder="1"/>
    <xf numFmtId="165" fontId="6" fillId="10" borderId="7" xfId="1" applyNumberFormat="1" applyFont="1" applyFill="1" applyBorder="1"/>
    <xf numFmtId="0" fontId="2" fillId="10" borderId="6" xfId="1" applyFont="1" applyFill="1" applyBorder="1"/>
    <xf numFmtId="167" fontId="2" fillId="10" borderId="6" xfId="2" applyNumberFormat="1" applyFont="1" applyFill="1" applyBorder="1"/>
    <xf numFmtId="1" fontId="6" fillId="10" borderId="6" xfId="2" applyNumberFormat="1" applyFont="1" applyFill="1" applyBorder="1" applyAlignment="1">
      <alignment horizontal="center"/>
    </xf>
    <xf numFmtId="165" fontId="33" fillId="10" borderId="6" xfId="1" applyNumberFormat="1" applyFont="1" applyFill="1" applyBorder="1"/>
    <xf numFmtId="165" fontId="2" fillId="10" borderId="6" xfId="1" applyNumberFormat="1" applyFont="1" applyFill="1" applyBorder="1"/>
    <xf numFmtId="0" fontId="20" fillId="2" borderId="9" xfId="1" applyFont="1" applyFill="1" applyBorder="1"/>
    <xf numFmtId="0" fontId="20" fillId="2" borderId="9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/>
    </xf>
    <xf numFmtId="1" fontId="29" fillId="2" borderId="9" xfId="1" applyNumberFormat="1" applyFont="1" applyFill="1" applyBorder="1" applyAlignment="1">
      <alignment horizontal="center"/>
    </xf>
    <xf numFmtId="165" fontId="40" fillId="2" borderId="9" xfId="1" applyNumberFormat="1" applyFont="1" applyFill="1" applyBorder="1" applyAlignment="1">
      <alignment horizontal="center"/>
    </xf>
    <xf numFmtId="165" fontId="29" fillId="10" borderId="9" xfId="1" applyNumberFormat="1" applyFont="1" applyFill="1" applyBorder="1" applyAlignment="1">
      <alignment horizontal="center"/>
    </xf>
    <xf numFmtId="167" fontId="6" fillId="2" borderId="8" xfId="1" applyNumberFormat="1" applyFont="1" applyFill="1" applyBorder="1"/>
    <xf numFmtId="164" fontId="37" fillId="2" borderId="6" xfId="1" applyNumberFormat="1" applyFont="1" applyFill="1" applyBorder="1"/>
    <xf numFmtId="165" fontId="2" fillId="2" borderId="1" xfId="1" applyNumberFormat="1" applyFont="1" applyFill="1" applyBorder="1" applyAlignment="1">
      <alignment horizontal="center"/>
    </xf>
    <xf numFmtId="0" fontId="42" fillId="2" borderId="6" xfId="1" applyFont="1" applyFill="1" applyBorder="1" applyAlignment="1">
      <alignment horizontal="left"/>
    </xf>
    <xf numFmtId="177" fontId="2" fillId="2" borderId="1" xfId="1" applyNumberFormat="1" applyFont="1" applyFill="1" applyBorder="1" applyAlignment="1">
      <alignment horizontal="center"/>
    </xf>
    <xf numFmtId="177" fontId="2" fillId="2" borderId="21" xfId="1" applyNumberFormat="1" applyFont="1" applyFill="1" applyBorder="1" applyAlignment="1">
      <alignment horizontal="center"/>
    </xf>
    <xf numFmtId="0" fontId="43" fillId="0" borderId="0" xfId="0" applyFont="1"/>
    <xf numFmtId="178" fontId="4" fillId="0" borderId="0" xfId="0" applyNumberFormat="1" applyFont="1"/>
    <xf numFmtId="165" fontId="33" fillId="2" borderId="37" xfId="1" applyNumberFormat="1" applyFont="1" applyFill="1" applyBorder="1"/>
    <xf numFmtId="165" fontId="42" fillId="2" borderId="0" xfId="1" applyNumberFormat="1" applyFont="1" applyFill="1"/>
    <xf numFmtId="0" fontId="44" fillId="2" borderId="0" xfId="1" applyFont="1" applyFill="1"/>
    <xf numFmtId="0" fontId="45" fillId="0" borderId="0" xfId="0" applyFont="1"/>
    <xf numFmtId="165" fontId="46" fillId="2" borderId="0" xfId="2" applyNumberFormat="1" applyFont="1" applyFill="1"/>
    <xf numFmtId="165" fontId="47" fillId="2" borderId="0" xfId="2" applyNumberFormat="1" applyFont="1" applyFill="1"/>
    <xf numFmtId="1" fontId="48" fillId="0" borderId="0" xfId="4" applyNumberFormat="1" applyFont="1"/>
    <xf numFmtId="0" fontId="47" fillId="2" borderId="0" xfId="1" applyFont="1" applyFill="1" applyBorder="1" applyAlignment="1"/>
    <xf numFmtId="0" fontId="46" fillId="2" borderId="24" xfId="1" applyFont="1" applyFill="1" applyBorder="1"/>
    <xf numFmtId="165" fontId="49" fillId="2" borderId="9" xfId="1" applyNumberFormat="1" applyFont="1" applyFill="1" applyBorder="1" applyAlignment="1">
      <alignment horizontal="center"/>
    </xf>
    <xf numFmtId="165" fontId="46" fillId="2" borderId="3" xfId="1" applyNumberFormat="1" applyFont="1" applyFill="1" applyBorder="1"/>
    <xf numFmtId="40" fontId="47" fillId="10" borderId="3" xfId="1" applyNumberFormat="1" applyFont="1" applyFill="1" applyBorder="1"/>
    <xf numFmtId="165" fontId="46" fillId="2" borderId="3" xfId="1" applyNumberFormat="1" applyFont="1" applyFill="1" applyBorder="1" applyAlignment="1">
      <alignment horizontal="right"/>
    </xf>
    <xf numFmtId="165" fontId="47" fillId="10" borderId="3" xfId="1" applyNumberFormat="1" applyFont="1" applyFill="1" applyBorder="1"/>
    <xf numFmtId="165" fontId="46" fillId="10" borderId="3" xfId="1" applyNumberFormat="1" applyFont="1" applyFill="1" applyBorder="1"/>
    <xf numFmtId="167" fontId="46" fillId="2" borderId="3" xfId="1" applyNumberFormat="1" applyFont="1" applyFill="1" applyBorder="1"/>
    <xf numFmtId="167" fontId="46" fillId="10" borderId="3" xfId="1" applyNumberFormat="1" applyFont="1" applyFill="1" applyBorder="1"/>
    <xf numFmtId="4" fontId="48" fillId="0" borderId="0" xfId="0" applyNumberFormat="1" applyFont="1"/>
    <xf numFmtId="0" fontId="41" fillId="0" borderId="0" xfId="0" applyFont="1" applyBorder="1"/>
    <xf numFmtId="166" fontId="47" fillId="2" borderId="3" xfId="1" applyNumberFormat="1" applyFont="1" applyFill="1" applyBorder="1"/>
    <xf numFmtId="0" fontId="44" fillId="2" borderId="5" xfId="1" applyFont="1" applyFill="1" applyBorder="1" applyAlignment="1">
      <alignment horizontal="center"/>
    </xf>
    <xf numFmtId="165" fontId="46" fillId="2" borderId="2" xfId="1" applyNumberFormat="1" applyFont="1" applyFill="1" applyBorder="1"/>
    <xf numFmtId="165" fontId="46" fillId="2" borderId="36" xfId="1" applyNumberFormat="1" applyFont="1" applyFill="1" applyBorder="1"/>
    <xf numFmtId="165" fontId="46" fillId="10" borderId="6" xfId="1" applyNumberFormat="1" applyFont="1" applyFill="1" applyBorder="1"/>
    <xf numFmtId="0" fontId="46" fillId="2" borderId="9" xfId="1" applyFont="1" applyFill="1" applyBorder="1" applyAlignment="1">
      <alignment horizontal="center"/>
    </xf>
    <xf numFmtId="166" fontId="46" fillId="2" borderId="3" xfId="1" applyNumberFormat="1" applyFont="1" applyFill="1" applyBorder="1" applyAlignment="1">
      <alignment horizontal="center"/>
    </xf>
    <xf numFmtId="166" fontId="46" fillId="2" borderId="7" xfId="1" applyNumberFormat="1" applyFont="1" applyFill="1" applyBorder="1" applyAlignment="1">
      <alignment horizontal="center"/>
    </xf>
    <xf numFmtId="166" fontId="46" fillId="2" borderId="6" xfId="1" applyNumberFormat="1" applyFont="1" applyFill="1" applyBorder="1" applyAlignment="1">
      <alignment horizontal="center"/>
    </xf>
    <xf numFmtId="166" fontId="47" fillId="2" borderId="9" xfId="2" applyNumberFormat="1" applyFont="1" applyFill="1" applyBorder="1"/>
    <xf numFmtId="166" fontId="41" fillId="0" borderId="0" xfId="0" applyNumberFormat="1" applyFont="1"/>
    <xf numFmtId="165" fontId="47" fillId="2" borderId="3" xfId="2" applyNumberFormat="1" applyFont="1" applyFill="1" applyBorder="1"/>
    <xf numFmtId="165" fontId="47" fillId="2" borderId="15" xfId="2" applyNumberFormat="1" applyFont="1" applyFill="1" applyBorder="1"/>
    <xf numFmtId="165" fontId="50" fillId="2" borderId="17" xfId="2" applyNumberFormat="1" applyFont="1" applyFill="1" applyBorder="1"/>
    <xf numFmtId="40" fontId="41" fillId="2" borderId="20" xfId="1" applyNumberFormat="1" applyFont="1" applyFill="1" applyBorder="1"/>
    <xf numFmtId="166" fontId="41" fillId="2" borderId="0" xfId="1" applyNumberFormat="1" applyFont="1" applyFill="1"/>
    <xf numFmtId="177" fontId="46" fillId="2" borderId="1" xfId="1" applyNumberFormat="1" applyFont="1" applyFill="1" applyBorder="1" applyAlignment="1">
      <alignment horizontal="center"/>
    </xf>
    <xf numFmtId="165" fontId="46" fillId="2" borderId="18" xfId="2" applyNumberFormat="1" applyFont="1" applyFill="1" applyBorder="1"/>
    <xf numFmtId="165" fontId="46" fillId="2" borderId="17" xfId="2" applyNumberFormat="1" applyFont="1" applyFill="1" applyBorder="1"/>
    <xf numFmtId="40" fontId="41" fillId="0" borderId="0" xfId="0" applyNumberFormat="1" applyFont="1"/>
    <xf numFmtId="167" fontId="47" fillId="2" borderId="6" xfId="1" applyNumberFormat="1" applyFont="1" applyFill="1" applyBorder="1" applyAlignment="1">
      <alignment horizontal="center"/>
    </xf>
    <xf numFmtId="0" fontId="42" fillId="2" borderId="6" xfId="1" applyFont="1" applyFill="1" applyBorder="1" applyAlignment="1">
      <alignment horizontal="center"/>
    </xf>
    <xf numFmtId="165" fontId="41" fillId="0" borderId="6" xfId="0" applyNumberFormat="1" applyFont="1" applyBorder="1"/>
    <xf numFmtId="164" fontId="41" fillId="2" borderId="6" xfId="1" applyNumberFormat="1" applyFont="1" applyFill="1" applyBorder="1"/>
    <xf numFmtId="165" fontId="42" fillId="2" borderId="6" xfId="1" applyNumberFormat="1" applyFont="1" applyFill="1" applyBorder="1"/>
    <xf numFmtId="165" fontId="41" fillId="2" borderId="6" xfId="1" applyNumberFormat="1" applyFont="1" applyFill="1" applyBorder="1"/>
    <xf numFmtId="0" fontId="41" fillId="0" borderId="0" xfId="0" applyFont="1"/>
    <xf numFmtId="4" fontId="41" fillId="0" borderId="0" xfId="0" applyNumberFormat="1" applyFont="1"/>
    <xf numFmtId="44" fontId="21" fillId="0" borderId="0" xfId="7" applyFont="1"/>
    <xf numFmtId="166" fontId="4" fillId="2" borderId="6" xfId="1" applyNumberFormat="1" applyFont="1" applyFill="1" applyBorder="1"/>
    <xf numFmtId="166" fontId="41" fillId="2" borderId="6" xfId="1" applyNumberFormat="1" applyFont="1" applyFill="1" applyBorder="1"/>
    <xf numFmtId="3" fontId="2" fillId="2" borderId="0" xfId="1" applyNumberFormat="1" applyFont="1" applyFill="1" applyBorder="1" applyAlignment="1">
      <alignment horizontal="right"/>
    </xf>
    <xf numFmtId="0" fontId="5" fillId="2" borderId="0" xfId="1" applyFont="1" applyFill="1" applyAlignment="1">
      <alignment horizontal="center"/>
    </xf>
    <xf numFmtId="164" fontId="19" fillId="3" borderId="6" xfId="1" applyNumberFormat="1" applyFont="1" applyFill="1" applyBorder="1"/>
    <xf numFmtId="164" fontId="19" fillId="8" borderId="6" xfId="0" applyNumberFormat="1" applyFont="1" applyFill="1" applyBorder="1"/>
    <xf numFmtId="165" fontId="2" fillId="3" borderId="6" xfId="1" applyNumberFormat="1" applyFont="1" applyFill="1" applyBorder="1"/>
    <xf numFmtId="164" fontId="19" fillId="3" borderId="0" xfId="1" applyNumberFormat="1" applyFont="1" applyFill="1" applyBorder="1"/>
    <xf numFmtId="165" fontId="2" fillId="3" borderId="0" xfId="1" applyNumberFormat="1" applyFont="1" applyFill="1" applyBorder="1"/>
    <xf numFmtId="164" fontId="19" fillId="8" borderId="0" xfId="0" applyNumberFormat="1" applyFont="1" applyFill="1" applyBorder="1"/>
    <xf numFmtId="0" fontId="19" fillId="8" borderId="0" xfId="0" applyFont="1" applyFill="1" applyBorder="1"/>
    <xf numFmtId="164" fontId="4" fillId="10" borderId="6" xfId="1" applyNumberFormat="1" applyFont="1" applyFill="1" applyBorder="1"/>
    <xf numFmtId="43" fontId="19" fillId="11" borderId="6" xfId="0" applyNumberFormat="1" applyFont="1" applyFill="1" applyBorder="1"/>
    <xf numFmtId="43" fontId="12" fillId="5" borderId="6" xfId="0" applyNumberFormat="1" applyFont="1" applyFill="1" applyBorder="1"/>
    <xf numFmtId="164" fontId="4" fillId="10" borderId="0" xfId="1" applyNumberFormat="1" applyFont="1" applyFill="1" applyBorder="1"/>
    <xf numFmtId="0" fontId="2" fillId="12" borderId="3" xfId="1" applyFont="1" applyFill="1" applyBorder="1"/>
    <xf numFmtId="3" fontId="2" fillId="12" borderId="3" xfId="1" applyNumberFormat="1" applyFont="1" applyFill="1" applyBorder="1"/>
    <xf numFmtId="167" fontId="2" fillId="12" borderId="3" xfId="2" applyNumberFormat="1" applyFont="1" applyFill="1" applyBorder="1"/>
    <xf numFmtId="1" fontId="6" fillId="12" borderId="3" xfId="2" applyNumberFormat="1" applyFont="1" applyFill="1" applyBorder="1" applyAlignment="1">
      <alignment horizontal="center"/>
    </xf>
    <xf numFmtId="165" fontId="46" fillId="12" borderId="3" xfId="1" applyNumberFormat="1" applyFont="1" applyFill="1" applyBorder="1"/>
    <xf numFmtId="165" fontId="34" fillId="12" borderId="3" xfId="1" applyNumberFormat="1" applyFont="1" applyFill="1" applyBorder="1"/>
    <xf numFmtId="165" fontId="6" fillId="12" borderId="3" xfId="1" applyNumberFormat="1" applyFont="1" applyFill="1" applyBorder="1"/>
    <xf numFmtId="0" fontId="2" fillId="12" borderId="3" xfId="1" applyFont="1" applyFill="1" applyBorder="1" applyAlignment="1">
      <alignment horizontal="center"/>
    </xf>
    <xf numFmtId="3" fontId="51" fillId="2" borderId="3" xfId="1" applyNumberFormat="1" applyFont="1" applyFill="1" applyBorder="1"/>
    <xf numFmtId="3" fontId="4" fillId="12" borderId="0" xfId="1" applyNumberFormat="1" applyFont="1" applyFill="1"/>
    <xf numFmtId="3" fontId="51" fillId="2" borderId="3" xfId="1" applyNumberFormat="1" applyFont="1" applyFill="1" applyBorder="1" applyAlignment="1">
      <alignment horizontal="right"/>
    </xf>
    <xf numFmtId="1" fontId="52" fillId="2" borderId="3" xfId="2" applyNumberFormat="1" applyFont="1" applyFill="1" applyBorder="1" applyAlignment="1">
      <alignment horizontal="center"/>
    </xf>
    <xf numFmtId="1" fontId="52" fillId="2" borderId="3" xfId="1" applyNumberFormat="1" applyFont="1" applyFill="1" applyBorder="1" applyAlignment="1">
      <alignment horizontal="center"/>
    </xf>
    <xf numFmtId="166" fontId="5" fillId="2" borderId="0" xfId="1" applyNumberFormat="1" applyFont="1" applyFill="1" applyAlignment="1">
      <alignment horizontal="center"/>
    </xf>
    <xf numFmtId="0" fontId="51" fillId="2" borderId="3" xfId="1" applyFont="1" applyFill="1" applyBorder="1"/>
    <xf numFmtId="4" fontId="4" fillId="0" borderId="0" xfId="0" applyNumberFormat="1" applyFont="1" applyAlignment="1">
      <alignment horizontal="center"/>
    </xf>
    <xf numFmtId="3" fontId="6" fillId="2" borderId="4" xfId="1" applyNumberFormat="1" applyFont="1" applyFill="1" applyBorder="1" applyAlignment="1">
      <alignment horizontal="center"/>
    </xf>
    <xf numFmtId="3" fontId="6" fillId="2" borderId="22" xfId="1" applyNumberFormat="1" applyFont="1" applyFill="1" applyBorder="1" applyAlignment="1">
      <alignment horizontal="center"/>
    </xf>
    <xf numFmtId="4" fontId="41" fillId="2" borderId="6" xfId="1" applyNumberFormat="1" applyFont="1" applyFill="1" applyBorder="1" applyAlignment="1">
      <alignment horizontal="center" vertical="center"/>
    </xf>
    <xf numFmtId="38" fontId="24" fillId="0" borderId="27" xfId="0" applyNumberFormat="1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5" fillId="2" borderId="38" xfId="1" applyFont="1" applyFill="1" applyBorder="1" applyAlignment="1">
      <alignment horizontal="center"/>
    </xf>
    <xf numFmtId="167" fontId="6" fillId="2" borderId="4" xfId="1" applyNumberFormat="1" applyFont="1" applyFill="1" applyBorder="1" applyAlignment="1">
      <alignment horizontal="center"/>
    </xf>
    <xf numFmtId="167" fontId="6" fillId="2" borderId="22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</cellXfs>
  <cellStyles count="8">
    <cellStyle name="Moeda" xfId="7" builtinId="4"/>
    <cellStyle name="Moeda 2" xfId="3" xr:uid="{00000000-0005-0000-0000-000000000000}"/>
    <cellStyle name="Normal" xfId="0" builtinId="0"/>
    <cellStyle name="Normal 2" xfId="1" xr:uid="{00000000-0005-0000-0000-000002000000}"/>
    <cellStyle name="Normal 3" xfId="5" xr:uid="{1AECECA1-C896-44A4-BD6B-14D96BD5B2D2}"/>
    <cellStyle name="Porcentagem" xfId="4" builtinId="5"/>
    <cellStyle name="Texto Explicativo 2" xfId="6" xr:uid="{5F620D8A-F05E-4BB2-8665-9FCF3D5E1BE6}"/>
    <cellStyle name="Vírgula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114300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9779031F-92D6-4C05-B7D7-B988FF03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161925</xdr:colOff>
      <xdr:row>18</xdr:row>
      <xdr:rowOff>0</xdr:rowOff>
    </xdr:from>
    <xdr:to>
      <xdr:col>7</xdr:col>
      <xdr:colOff>933450</xdr:colOff>
      <xdr:row>18</xdr:row>
      <xdr:rowOff>1725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9C1BACBF-AC70-4BB0-BEB6-FD8E1B9586DC}"/>
            </a:ext>
          </a:extLst>
        </xdr:cNvPr>
        <xdr:cNvSpPr>
          <a:spLocks noChangeArrowheads="1"/>
        </xdr:cNvSpPr>
      </xdr:nvSpPr>
      <xdr:spPr bwMode="auto">
        <a:xfrm>
          <a:off x="1095375" y="3295650"/>
          <a:ext cx="4076700" cy="1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 parâmetros acima foram utilizados para as projeções de receitas e despesas, bem como para os cálculos em valores correntes e constantes, de acordo com sua pertinência, ou não com as origem/espécie/rubrica de receita e/ou grupo de natureza de despesa.</a:t>
          </a:r>
        </a:p>
      </xdr:txBody>
    </xdr:sp>
    <xdr:clientData/>
  </xdr:twoCellAnchor>
  <xdr:twoCellAnchor>
    <xdr:from>
      <xdr:col>0</xdr:col>
      <xdr:colOff>1971675</xdr:colOff>
      <xdr:row>18</xdr:row>
      <xdr:rowOff>0</xdr:rowOff>
    </xdr:from>
    <xdr:to>
      <xdr:col>5</xdr:col>
      <xdr:colOff>314325</xdr:colOff>
      <xdr:row>18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74240F03-B951-46F3-86C5-9AD0354A20F3}"/>
            </a:ext>
          </a:extLst>
        </xdr:cNvPr>
        <xdr:cNvSpPr>
          <a:spLocks noChangeShapeType="1"/>
        </xdr:cNvSpPr>
      </xdr:nvSpPr>
      <xdr:spPr bwMode="auto">
        <a:xfrm>
          <a:off x="447675" y="3295650"/>
          <a:ext cx="2657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18</xdr:row>
      <xdr:rowOff>0</xdr:rowOff>
    </xdr:from>
    <xdr:to>
      <xdr:col>5</xdr:col>
      <xdr:colOff>381000</xdr:colOff>
      <xdr:row>18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9B02DCB8-A8F2-4F7D-9815-CC268AC497A1}"/>
            </a:ext>
          </a:extLst>
        </xdr:cNvPr>
        <xdr:cNvSpPr>
          <a:spLocks noChangeShapeType="1"/>
        </xdr:cNvSpPr>
      </xdr:nvSpPr>
      <xdr:spPr bwMode="auto">
        <a:xfrm flipH="1">
          <a:off x="3162300" y="32956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data:11/08/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67B6E-C370-4805-9E07-AC4DAB43A604}">
  <dimension ref="A1:GU730"/>
  <sheetViews>
    <sheetView tabSelected="1" workbookViewId="0">
      <selection activeCell="I671" sqref="I671"/>
    </sheetView>
  </sheetViews>
  <sheetFormatPr defaultRowHeight="11.25" x14ac:dyDescent="0.2"/>
  <cols>
    <col min="1" max="1" width="6.7109375" style="6" customWidth="1"/>
    <col min="2" max="2" width="7.28515625" style="6" customWidth="1"/>
    <col min="3" max="3" width="9" style="6" customWidth="1"/>
    <col min="4" max="4" width="6.42578125" style="83" customWidth="1"/>
    <col min="5" max="5" width="12.42578125" style="6" customWidth="1"/>
    <col min="6" max="6" width="11.5703125" style="214" customWidth="1"/>
    <col min="7" max="7" width="13.5703125" style="127" customWidth="1"/>
    <col min="8" max="8" width="13.42578125" style="83" customWidth="1"/>
    <col min="9" max="9" width="10.85546875" style="34" customWidth="1"/>
    <col min="10" max="10" width="11.42578125" style="17" customWidth="1"/>
    <col min="11" max="11" width="11.42578125" style="6" customWidth="1"/>
    <col min="12" max="13" width="11.140625" style="6" customWidth="1"/>
    <col min="14" max="14" width="11.5703125" style="6" customWidth="1"/>
    <col min="15" max="17" width="11.7109375" style="6" bestFit="1" customWidth="1"/>
    <col min="18" max="254" width="9.140625" style="6"/>
    <col min="255" max="255" width="5.85546875" style="6" customWidth="1"/>
    <col min="256" max="256" width="10.85546875" style="6" customWidth="1"/>
    <col min="257" max="257" width="12" style="6" customWidth="1"/>
    <col min="258" max="258" width="5.28515625" style="6" customWidth="1"/>
    <col min="259" max="259" width="17" style="6" customWidth="1"/>
    <col min="260" max="260" width="7.7109375" style="6" customWidth="1"/>
    <col min="261" max="261" width="11.5703125" style="6" customWidth="1"/>
    <col min="262" max="262" width="12.140625" style="6" customWidth="1"/>
    <col min="263" max="263" width="12.42578125" style="6" customWidth="1"/>
    <col min="264" max="264" width="6.28515625" style="6" customWidth="1"/>
    <col min="265" max="265" width="11.140625" style="6" customWidth="1"/>
    <col min="266" max="266" width="10.85546875" style="6" customWidth="1"/>
    <col min="267" max="267" width="12.140625" style="6" bestFit="1" customWidth="1"/>
    <col min="268" max="268" width="13.5703125" style="6" bestFit="1" customWidth="1"/>
    <col min="269" max="269" width="9.42578125" style="6" bestFit="1" customWidth="1"/>
    <col min="270" max="270" width="10.7109375" style="6" bestFit="1" customWidth="1"/>
    <col min="271" max="272" width="9.42578125" style="6" bestFit="1" customWidth="1"/>
    <col min="273" max="510" width="9.140625" style="6"/>
    <col min="511" max="511" width="5.85546875" style="6" customWidth="1"/>
    <col min="512" max="512" width="10.85546875" style="6" customWidth="1"/>
    <col min="513" max="513" width="12" style="6" customWidth="1"/>
    <col min="514" max="514" width="5.28515625" style="6" customWidth="1"/>
    <col min="515" max="515" width="17" style="6" customWidth="1"/>
    <col min="516" max="516" width="7.7109375" style="6" customWidth="1"/>
    <col min="517" max="517" width="11.5703125" style="6" customWidth="1"/>
    <col min="518" max="518" width="12.140625" style="6" customWidth="1"/>
    <col min="519" max="519" width="12.42578125" style="6" customWidth="1"/>
    <col min="520" max="520" width="6.28515625" style="6" customWidth="1"/>
    <col min="521" max="521" width="11.140625" style="6" customWidth="1"/>
    <col min="522" max="522" width="10.85546875" style="6" customWidth="1"/>
    <col min="523" max="523" width="12.140625" style="6" bestFit="1" customWidth="1"/>
    <col min="524" max="524" width="13.5703125" style="6" bestFit="1" customWidth="1"/>
    <col min="525" max="525" width="9.42578125" style="6" bestFit="1" customWidth="1"/>
    <col min="526" max="526" width="10.7109375" style="6" bestFit="1" customWidth="1"/>
    <col min="527" max="528" width="9.42578125" style="6" bestFit="1" customWidth="1"/>
    <col min="529" max="766" width="9.140625" style="6"/>
    <col min="767" max="767" width="5.85546875" style="6" customWidth="1"/>
    <col min="768" max="768" width="10.85546875" style="6" customWidth="1"/>
    <col min="769" max="769" width="12" style="6" customWidth="1"/>
    <col min="770" max="770" width="5.28515625" style="6" customWidth="1"/>
    <col min="771" max="771" width="17" style="6" customWidth="1"/>
    <col min="772" max="772" width="7.7109375" style="6" customWidth="1"/>
    <col min="773" max="773" width="11.5703125" style="6" customWidth="1"/>
    <col min="774" max="774" width="12.140625" style="6" customWidth="1"/>
    <col min="775" max="775" width="12.42578125" style="6" customWidth="1"/>
    <col min="776" max="776" width="6.28515625" style="6" customWidth="1"/>
    <col min="777" max="777" width="11.140625" style="6" customWidth="1"/>
    <col min="778" max="778" width="10.85546875" style="6" customWidth="1"/>
    <col min="779" max="779" width="12.140625" style="6" bestFit="1" customWidth="1"/>
    <col min="780" max="780" width="13.5703125" style="6" bestFit="1" customWidth="1"/>
    <col min="781" max="781" width="9.42578125" style="6" bestFit="1" customWidth="1"/>
    <col min="782" max="782" width="10.7109375" style="6" bestFit="1" customWidth="1"/>
    <col min="783" max="784" width="9.42578125" style="6" bestFit="1" customWidth="1"/>
    <col min="785" max="1022" width="9.140625" style="6"/>
    <col min="1023" max="1023" width="5.85546875" style="6" customWidth="1"/>
    <col min="1024" max="1024" width="10.85546875" style="6" customWidth="1"/>
    <col min="1025" max="1025" width="12" style="6" customWidth="1"/>
    <col min="1026" max="1026" width="5.28515625" style="6" customWidth="1"/>
    <col min="1027" max="1027" width="17" style="6" customWidth="1"/>
    <col min="1028" max="1028" width="7.7109375" style="6" customWidth="1"/>
    <col min="1029" max="1029" width="11.5703125" style="6" customWidth="1"/>
    <col min="1030" max="1030" width="12.140625" style="6" customWidth="1"/>
    <col min="1031" max="1031" width="12.42578125" style="6" customWidth="1"/>
    <col min="1032" max="1032" width="6.28515625" style="6" customWidth="1"/>
    <col min="1033" max="1033" width="11.140625" style="6" customWidth="1"/>
    <col min="1034" max="1034" width="10.85546875" style="6" customWidth="1"/>
    <col min="1035" max="1035" width="12.140625" style="6" bestFit="1" customWidth="1"/>
    <col min="1036" max="1036" width="13.5703125" style="6" bestFit="1" customWidth="1"/>
    <col min="1037" max="1037" width="9.42578125" style="6" bestFit="1" customWidth="1"/>
    <col min="1038" max="1038" width="10.7109375" style="6" bestFit="1" customWidth="1"/>
    <col min="1039" max="1040" width="9.42578125" style="6" bestFit="1" customWidth="1"/>
    <col min="1041" max="1278" width="9.140625" style="6"/>
    <col min="1279" max="1279" width="5.85546875" style="6" customWidth="1"/>
    <col min="1280" max="1280" width="10.85546875" style="6" customWidth="1"/>
    <col min="1281" max="1281" width="12" style="6" customWidth="1"/>
    <col min="1282" max="1282" width="5.28515625" style="6" customWidth="1"/>
    <col min="1283" max="1283" width="17" style="6" customWidth="1"/>
    <col min="1284" max="1284" width="7.7109375" style="6" customWidth="1"/>
    <col min="1285" max="1285" width="11.5703125" style="6" customWidth="1"/>
    <col min="1286" max="1286" width="12.140625" style="6" customWidth="1"/>
    <col min="1287" max="1287" width="12.42578125" style="6" customWidth="1"/>
    <col min="1288" max="1288" width="6.28515625" style="6" customWidth="1"/>
    <col min="1289" max="1289" width="11.140625" style="6" customWidth="1"/>
    <col min="1290" max="1290" width="10.85546875" style="6" customWidth="1"/>
    <col min="1291" max="1291" width="12.140625" style="6" bestFit="1" customWidth="1"/>
    <col min="1292" max="1292" width="13.5703125" style="6" bestFit="1" customWidth="1"/>
    <col min="1293" max="1293" width="9.42578125" style="6" bestFit="1" customWidth="1"/>
    <col min="1294" max="1294" width="10.7109375" style="6" bestFit="1" customWidth="1"/>
    <col min="1295" max="1296" width="9.42578125" style="6" bestFit="1" customWidth="1"/>
    <col min="1297" max="1534" width="9.140625" style="6"/>
    <col min="1535" max="1535" width="5.85546875" style="6" customWidth="1"/>
    <col min="1536" max="1536" width="10.85546875" style="6" customWidth="1"/>
    <col min="1537" max="1537" width="12" style="6" customWidth="1"/>
    <col min="1538" max="1538" width="5.28515625" style="6" customWidth="1"/>
    <col min="1539" max="1539" width="17" style="6" customWidth="1"/>
    <col min="1540" max="1540" width="7.7109375" style="6" customWidth="1"/>
    <col min="1541" max="1541" width="11.5703125" style="6" customWidth="1"/>
    <col min="1542" max="1542" width="12.140625" style="6" customWidth="1"/>
    <col min="1543" max="1543" width="12.42578125" style="6" customWidth="1"/>
    <col min="1544" max="1544" width="6.28515625" style="6" customWidth="1"/>
    <col min="1545" max="1545" width="11.140625" style="6" customWidth="1"/>
    <col min="1546" max="1546" width="10.85546875" style="6" customWidth="1"/>
    <col min="1547" max="1547" width="12.140625" style="6" bestFit="1" customWidth="1"/>
    <col min="1548" max="1548" width="13.5703125" style="6" bestFit="1" customWidth="1"/>
    <col min="1549" max="1549" width="9.42578125" style="6" bestFit="1" customWidth="1"/>
    <col min="1550" max="1550" width="10.7109375" style="6" bestFit="1" customWidth="1"/>
    <col min="1551" max="1552" width="9.42578125" style="6" bestFit="1" customWidth="1"/>
    <col min="1553" max="1790" width="9.140625" style="6"/>
    <col min="1791" max="1791" width="5.85546875" style="6" customWidth="1"/>
    <col min="1792" max="1792" width="10.85546875" style="6" customWidth="1"/>
    <col min="1793" max="1793" width="12" style="6" customWidth="1"/>
    <col min="1794" max="1794" width="5.28515625" style="6" customWidth="1"/>
    <col min="1795" max="1795" width="17" style="6" customWidth="1"/>
    <col min="1796" max="1796" width="7.7109375" style="6" customWidth="1"/>
    <col min="1797" max="1797" width="11.5703125" style="6" customWidth="1"/>
    <col min="1798" max="1798" width="12.140625" style="6" customWidth="1"/>
    <col min="1799" max="1799" width="12.42578125" style="6" customWidth="1"/>
    <col min="1800" max="1800" width="6.28515625" style="6" customWidth="1"/>
    <col min="1801" max="1801" width="11.140625" style="6" customWidth="1"/>
    <col min="1802" max="1802" width="10.85546875" style="6" customWidth="1"/>
    <col min="1803" max="1803" width="12.140625" style="6" bestFit="1" customWidth="1"/>
    <col min="1804" max="1804" width="13.5703125" style="6" bestFit="1" customWidth="1"/>
    <col min="1805" max="1805" width="9.42578125" style="6" bestFit="1" customWidth="1"/>
    <col min="1806" max="1806" width="10.7109375" style="6" bestFit="1" customWidth="1"/>
    <col min="1807" max="1808" width="9.42578125" style="6" bestFit="1" customWidth="1"/>
    <col min="1809" max="2046" width="9.140625" style="6"/>
    <col min="2047" max="2047" width="5.85546875" style="6" customWidth="1"/>
    <col min="2048" max="2048" width="10.85546875" style="6" customWidth="1"/>
    <col min="2049" max="2049" width="12" style="6" customWidth="1"/>
    <col min="2050" max="2050" width="5.28515625" style="6" customWidth="1"/>
    <col min="2051" max="2051" width="17" style="6" customWidth="1"/>
    <col min="2052" max="2052" width="7.7109375" style="6" customWidth="1"/>
    <col min="2053" max="2053" width="11.5703125" style="6" customWidth="1"/>
    <col min="2054" max="2054" width="12.140625" style="6" customWidth="1"/>
    <col min="2055" max="2055" width="12.42578125" style="6" customWidth="1"/>
    <col min="2056" max="2056" width="6.28515625" style="6" customWidth="1"/>
    <col min="2057" max="2057" width="11.140625" style="6" customWidth="1"/>
    <col min="2058" max="2058" width="10.85546875" style="6" customWidth="1"/>
    <col min="2059" max="2059" width="12.140625" style="6" bestFit="1" customWidth="1"/>
    <col min="2060" max="2060" width="13.5703125" style="6" bestFit="1" customWidth="1"/>
    <col min="2061" max="2061" width="9.42578125" style="6" bestFit="1" customWidth="1"/>
    <col min="2062" max="2062" width="10.7109375" style="6" bestFit="1" customWidth="1"/>
    <col min="2063" max="2064" width="9.42578125" style="6" bestFit="1" customWidth="1"/>
    <col min="2065" max="2302" width="9.140625" style="6"/>
    <col min="2303" max="2303" width="5.85546875" style="6" customWidth="1"/>
    <col min="2304" max="2304" width="10.85546875" style="6" customWidth="1"/>
    <col min="2305" max="2305" width="12" style="6" customWidth="1"/>
    <col min="2306" max="2306" width="5.28515625" style="6" customWidth="1"/>
    <col min="2307" max="2307" width="17" style="6" customWidth="1"/>
    <col min="2308" max="2308" width="7.7109375" style="6" customWidth="1"/>
    <col min="2309" max="2309" width="11.5703125" style="6" customWidth="1"/>
    <col min="2310" max="2310" width="12.140625" style="6" customWidth="1"/>
    <col min="2311" max="2311" width="12.42578125" style="6" customWidth="1"/>
    <col min="2312" max="2312" width="6.28515625" style="6" customWidth="1"/>
    <col min="2313" max="2313" width="11.140625" style="6" customWidth="1"/>
    <col min="2314" max="2314" width="10.85546875" style="6" customWidth="1"/>
    <col min="2315" max="2315" width="12.140625" style="6" bestFit="1" customWidth="1"/>
    <col min="2316" max="2316" width="13.5703125" style="6" bestFit="1" customWidth="1"/>
    <col min="2317" max="2317" width="9.42578125" style="6" bestFit="1" customWidth="1"/>
    <col min="2318" max="2318" width="10.7109375" style="6" bestFit="1" customWidth="1"/>
    <col min="2319" max="2320" width="9.42578125" style="6" bestFit="1" customWidth="1"/>
    <col min="2321" max="2558" width="9.140625" style="6"/>
    <col min="2559" max="2559" width="5.85546875" style="6" customWidth="1"/>
    <col min="2560" max="2560" width="10.85546875" style="6" customWidth="1"/>
    <col min="2561" max="2561" width="12" style="6" customWidth="1"/>
    <col min="2562" max="2562" width="5.28515625" style="6" customWidth="1"/>
    <col min="2563" max="2563" width="17" style="6" customWidth="1"/>
    <col min="2564" max="2564" width="7.7109375" style="6" customWidth="1"/>
    <col min="2565" max="2565" width="11.5703125" style="6" customWidth="1"/>
    <col min="2566" max="2566" width="12.140625" style="6" customWidth="1"/>
    <col min="2567" max="2567" width="12.42578125" style="6" customWidth="1"/>
    <col min="2568" max="2568" width="6.28515625" style="6" customWidth="1"/>
    <col min="2569" max="2569" width="11.140625" style="6" customWidth="1"/>
    <col min="2570" max="2570" width="10.85546875" style="6" customWidth="1"/>
    <col min="2571" max="2571" width="12.140625" style="6" bestFit="1" customWidth="1"/>
    <col min="2572" max="2572" width="13.5703125" style="6" bestFit="1" customWidth="1"/>
    <col min="2573" max="2573" width="9.42578125" style="6" bestFit="1" customWidth="1"/>
    <col min="2574" max="2574" width="10.7109375" style="6" bestFit="1" customWidth="1"/>
    <col min="2575" max="2576" width="9.42578125" style="6" bestFit="1" customWidth="1"/>
    <col min="2577" max="2814" width="9.140625" style="6"/>
    <col min="2815" max="2815" width="5.85546875" style="6" customWidth="1"/>
    <col min="2816" max="2816" width="10.85546875" style="6" customWidth="1"/>
    <col min="2817" max="2817" width="12" style="6" customWidth="1"/>
    <col min="2818" max="2818" width="5.28515625" style="6" customWidth="1"/>
    <col min="2819" max="2819" width="17" style="6" customWidth="1"/>
    <col min="2820" max="2820" width="7.7109375" style="6" customWidth="1"/>
    <col min="2821" max="2821" width="11.5703125" style="6" customWidth="1"/>
    <col min="2822" max="2822" width="12.140625" style="6" customWidth="1"/>
    <col min="2823" max="2823" width="12.42578125" style="6" customWidth="1"/>
    <col min="2824" max="2824" width="6.28515625" style="6" customWidth="1"/>
    <col min="2825" max="2825" width="11.140625" style="6" customWidth="1"/>
    <col min="2826" max="2826" width="10.85546875" style="6" customWidth="1"/>
    <col min="2827" max="2827" width="12.140625" style="6" bestFit="1" customWidth="1"/>
    <col min="2828" max="2828" width="13.5703125" style="6" bestFit="1" customWidth="1"/>
    <col min="2829" max="2829" width="9.42578125" style="6" bestFit="1" customWidth="1"/>
    <col min="2830" max="2830" width="10.7109375" style="6" bestFit="1" customWidth="1"/>
    <col min="2831" max="2832" width="9.42578125" style="6" bestFit="1" customWidth="1"/>
    <col min="2833" max="3070" width="9.140625" style="6"/>
    <col min="3071" max="3071" width="5.85546875" style="6" customWidth="1"/>
    <col min="3072" max="3072" width="10.85546875" style="6" customWidth="1"/>
    <col min="3073" max="3073" width="12" style="6" customWidth="1"/>
    <col min="3074" max="3074" width="5.28515625" style="6" customWidth="1"/>
    <col min="3075" max="3075" width="17" style="6" customWidth="1"/>
    <col min="3076" max="3076" width="7.7109375" style="6" customWidth="1"/>
    <col min="3077" max="3077" width="11.5703125" style="6" customWidth="1"/>
    <col min="3078" max="3078" width="12.140625" style="6" customWidth="1"/>
    <col min="3079" max="3079" width="12.42578125" style="6" customWidth="1"/>
    <col min="3080" max="3080" width="6.28515625" style="6" customWidth="1"/>
    <col min="3081" max="3081" width="11.140625" style="6" customWidth="1"/>
    <col min="3082" max="3082" width="10.85546875" style="6" customWidth="1"/>
    <col min="3083" max="3083" width="12.140625" style="6" bestFit="1" customWidth="1"/>
    <col min="3084" max="3084" width="13.5703125" style="6" bestFit="1" customWidth="1"/>
    <col min="3085" max="3085" width="9.42578125" style="6" bestFit="1" customWidth="1"/>
    <col min="3086" max="3086" width="10.7109375" style="6" bestFit="1" customWidth="1"/>
    <col min="3087" max="3088" width="9.42578125" style="6" bestFit="1" customWidth="1"/>
    <col min="3089" max="3326" width="9.140625" style="6"/>
    <col min="3327" max="3327" width="5.85546875" style="6" customWidth="1"/>
    <col min="3328" max="3328" width="10.85546875" style="6" customWidth="1"/>
    <col min="3329" max="3329" width="12" style="6" customWidth="1"/>
    <col min="3330" max="3330" width="5.28515625" style="6" customWidth="1"/>
    <col min="3331" max="3331" width="17" style="6" customWidth="1"/>
    <col min="3332" max="3332" width="7.7109375" style="6" customWidth="1"/>
    <col min="3333" max="3333" width="11.5703125" style="6" customWidth="1"/>
    <col min="3334" max="3334" width="12.140625" style="6" customWidth="1"/>
    <col min="3335" max="3335" width="12.42578125" style="6" customWidth="1"/>
    <col min="3336" max="3336" width="6.28515625" style="6" customWidth="1"/>
    <col min="3337" max="3337" width="11.140625" style="6" customWidth="1"/>
    <col min="3338" max="3338" width="10.85546875" style="6" customWidth="1"/>
    <col min="3339" max="3339" width="12.140625" style="6" bestFit="1" customWidth="1"/>
    <col min="3340" max="3340" width="13.5703125" style="6" bestFit="1" customWidth="1"/>
    <col min="3341" max="3341" width="9.42578125" style="6" bestFit="1" customWidth="1"/>
    <col min="3342" max="3342" width="10.7109375" style="6" bestFit="1" customWidth="1"/>
    <col min="3343" max="3344" width="9.42578125" style="6" bestFit="1" customWidth="1"/>
    <col min="3345" max="3582" width="9.140625" style="6"/>
    <col min="3583" max="3583" width="5.85546875" style="6" customWidth="1"/>
    <col min="3584" max="3584" width="10.85546875" style="6" customWidth="1"/>
    <col min="3585" max="3585" width="12" style="6" customWidth="1"/>
    <col min="3586" max="3586" width="5.28515625" style="6" customWidth="1"/>
    <col min="3587" max="3587" width="17" style="6" customWidth="1"/>
    <col min="3588" max="3588" width="7.7109375" style="6" customWidth="1"/>
    <col min="3589" max="3589" width="11.5703125" style="6" customWidth="1"/>
    <col min="3590" max="3590" width="12.140625" style="6" customWidth="1"/>
    <col min="3591" max="3591" width="12.42578125" style="6" customWidth="1"/>
    <col min="3592" max="3592" width="6.28515625" style="6" customWidth="1"/>
    <col min="3593" max="3593" width="11.140625" style="6" customWidth="1"/>
    <col min="3594" max="3594" width="10.85546875" style="6" customWidth="1"/>
    <col min="3595" max="3595" width="12.140625" style="6" bestFit="1" customWidth="1"/>
    <col min="3596" max="3596" width="13.5703125" style="6" bestFit="1" customWidth="1"/>
    <col min="3597" max="3597" width="9.42578125" style="6" bestFit="1" customWidth="1"/>
    <col min="3598" max="3598" width="10.7109375" style="6" bestFit="1" customWidth="1"/>
    <col min="3599" max="3600" width="9.42578125" style="6" bestFit="1" customWidth="1"/>
    <col min="3601" max="3838" width="9.140625" style="6"/>
    <col min="3839" max="3839" width="5.85546875" style="6" customWidth="1"/>
    <col min="3840" max="3840" width="10.85546875" style="6" customWidth="1"/>
    <col min="3841" max="3841" width="12" style="6" customWidth="1"/>
    <col min="3842" max="3842" width="5.28515625" style="6" customWidth="1"/>
    <col min="3843" max="3843" width="17" style="6" customWidth="1"/>
    <col min="3844" max="3844" width="7.7109375" style="6" customWidth="1"/>
    <col min="3845" max="3845" width="11.5703125" style="6" customWidth="1"/>
    <col min="3846" max="3846" width="12.140625" style="6" customWidth="1"/>
    <col min="3847" max="3847" width="12.42578125" style="6" customWidth="1"/>
    <col min="3848" max="3848" width="6.28515625" style="6" customWidth="1"/>
    <col min="3849" max="3849" width="11.140625" style="6" customWidth="1"/>
    <col min="3850" max="3850" width="10.85546875" style="6" customWidth="1"/>
    <col min="3851" max="3851" width="12.140625" style="6" bestFit="1" customWidth="1"/>
    <col min="3852" max="3852" width="13.5703125" style="6" bestFit="1" customWidth="1"/>
    <col min="3853" max="3853" width="9.42578125" style="6" bestFit="1" customWidth="1"/>
    <col min="3854" max="3854" width="10.7109375" style="6" bestFit="1" customWidth="1"/>
    <col min="3855" max="3856" width="9.42578125" style="6" bestFit="1" customWidth="1"/>
    <col min="3857" max="4094" width="9.140625" style="6"/>
    <col min="4095" max="4095" width="5.85546875" style="6" customWidth="1"/>
    <col min="4096" max="4096" width="10.85546875" style="6" customWidth="1"/>
    <col min="4097" max="4097" width="12" style="6" customWidth="1"/>
    <col min="4098" max="4098" width="5.28515625" style="6" customWidth="1"/>
    <col min="4099" max="4099" width="17" style="6" customWidth="1"/>
    <col min="4100" max="4100" width="7.7109375" style="6" customWidth="1"/>
    <col min="4101" max="4101" width="11.5703125" style="6" customWidth="1"/>
    <col min="4102" max="4102" width="12.140625" style="6" customWidth="1"/>
    <col min="4103" max="4103" width="12.42578125" style="6" customWidth="1"/>
    <col min="4104" max="4104" width="6.28515625" style="6" customWidth="1"/>
    <col min="4105" max="4105" width="11.140625" style="6" customWidth="1"/>
    <col min="4106" max="4106" width="10.85546875" style="6" customWidth="1"/>
    <col min="4107" max="4107" width="12.140625" style="6" bestFit="1" customWidth="1"/>
    <col min="4108" max="4108" width="13.5703125" style="6" bestFit="1" customWidth="1"/>
    <col min="4109" max="4109" width="9.42578125" style="6" bestFit="1" customWidth="1"/>
    <col min="4110" max="4110" width="10.7109375" style="6" bestFit="1" customWidth="1"/>
    <col min="4111" max="4112" width="9.42578125" style="6" bestFit="1" customWidth="1"/>
    <col min="4113" max="4350" width="9.140625" style="6"/>
    <col min="4351" max="4351" width="5.85546875" style="6" customWidth="1"/>
    <col min="4352" max="4352" width="10.85546875" style="6" customWidth="1"/>
    <col min="4353" max="4353" width="12" style="6" customWidth="1"/>
    <col min="4354" max="4354" width="5.28515625" style="6" customWidth="1"/>
    <col min="4355" max="4355" width="17" style="6" customWidth="1"/>
    <col min="4356" max="4356" width="7.7109375" style="6" customWidth="1"/>
    <col min="4357" max="4357" width="11.5703125" style="6" customWidth="1"/>
    <col min="4358" max="4358" width="12.140625" style="6" customWidth="1"/>
    <col min="4359" max="4359" width="12.42578125" style="6" customWidth="1"/>
    <col min="4360" max="4360" width="6.28515625" style="6" customWidth="1"/>
    <col min="4361" max="4361" width="11.140625" style="6" customWidth="1"/>
    <col min="4362" max="4362" width="10.85546875" style="6" customWidth="1"/>
    <col min="4363" max="4363" width="12.140625" style="6" bestFit="1" customWidth="1"/>
    <col min="4364" max="4364" width="13.5703125" style="6" bestFit="1" customWidth="1"/>
    <col min="4365" max="4365" width="9.42578125" style="6" bestFit="1" customWidth="1"/>
    <col min="4366" max="4366" width="10.7109375" style="6" bestFit="1" customWidth="1"/>
    <col min="4367" max="4368" width="9.42578125" style="6" bestFit="1" customWidth="1"/>
    <col min="4369" max="4606" width="9.140625" style="6"/>
    <col min="4607" max="4607" width="5.85546875" style="6" customWidth="1"/>
    <col min="4608" max="4608" width="10.85546875" style="6" customWidth="1"/>
    <col min="4609" max="4609" width="12" style="6" customWidth="1"/>
    <col min="4610" max="4610" width="5.28515625" style="6" customWidth="1"/>
    <col min="4611" max="4611" width="17" style="6" customWidth="1"/>
    <col min="4612" max="4612" width="7.7109375" style="6" customWidth="1"/>
    <col min="4613" max="4613" width="11.5703125" style="6" customWidth="1"/>
    <col min="4614" max="4614" width="12.140625" style="6" customWidth="1"/>
    <col min="4615" max="4615" width="12.42578125" style="6" customWidth="1"/>
    <col min="4616" max="4616" width="6.28515625" style="6" customWidth="1"/>
    <col min="4617" max="4617" width="11.140625" style="6" customWidth="1"/>
    <col min="4618" max="4618" width="10.85546875" style="6" customWidth="1"/>
    <col min="4619" max="4619" width="12.140625" style="6" bestFit="1" customWidth="1"/>
    <col min="4620" max="4620" width="13.5703125" style="6" bestFit="1" customWidth="1"/>
    <col min="4621" max="4621" width="9.42578125" style="6" bestFit="1" customWidth="1"/>
    <col min="4622" max="4622" width="10.7109375" style="6" bestFit="1" customWidth="1"/>
    <col min="4623" max="4624" width="9.42578125" style="6" bestFit="1" customWidth="1"/>
    <col min="4625" max="4862" width="9.140625" style="6"/>
    <col min="4863" max="4863" width="5.85546875" style="6" customWidth="1"/>
    <col min="4864" max="4864" width="10.85546875" style="6" customWidth="1"/>
    <col min="4865" max="4865" width="12" style="6" customWidth="1"/>
    <col min="4866" max="4866" width="5.28515625" style="6" customWidth="1"/>
    <col min="4867" max="4867" width="17" style="6" customWidth="1"/>
    <col min="4868" max="4868" width="7.7109375" style="6" customWidth="1"/>
    <col min="4869" max="4869" width="11.5703125" style="6" customWidth="1"/>
    <col min="4870" max="4870" width="12.140625" style="6" customWidth="1"/>
    <col min="4871" max="4871" width="12.42578125" style="6" customWidth="1"/>
    <col min="4872" max="4872" width="6.28515625" style="6" customWidth="1"/>
    <col min="4873" max="4873" width="11.140625" style="6" customWidth="1"/>
    <col min="4874" max="4874" width="10.85546875" style="6" customWidth="1"/>
    <col min="4875" max="4875" width="12.140625" style="6" bestFit="1" customWidth="1"/>
    <col min="4876" max="4876" width="13.5703125" style="6" bestFit="1" customWidth="1"/>
    <col min="4877" max="4877" width="9.42578125" style="6" bestFit="1" customWidth="1"/>
    <col min="4878" max="4878" width="10.7109375" style="6" bestFit="1" customWidth="1"/>
    <col min="4879" max="4880" width="9.42578125" style="6" bestFit="1" customWidth="1"/>
    <col min="4881" max="5118" width="9.140625" style="6"/>
    <col min="5119" max="5119" width="5.85546875" style="6" customWidth="1"/>
    <col min="5120" max="5120" width="10.85546875" style="6" customWidth="1"/>
    <col min="5121" max="5121" width="12" style="6" customWidth="1"/>
    <col min="5122" max="5122" width="5.28515625" style="6" customWidth="1"/>
    <col min="5123" max="5123" width="17" style="6" customWidth="1"/>
    <col min="5124" max="5124" width="7.7109375" style="6" customWidth="1"/>
    <col min="5125" max="5125" width="11.5703125" style="6" customWidth="1"/>
    <col min="5126" max="5126" width="12.140625" style="6" customWidth="1"/>
    <col min="5127" max="5127" width="12.42578125" style="6" customWidth="1"/>
    <col min="5128" max="5128" width="6.28515625" style="6" customWidth="1"/>
    <col min="5129" max="5129" width="11.140625" style="6" customWidth="1"/>
    <col min="5130" max="5130" width="10.85546875" style="6" customWidth="1"/>
    <col min="5131" max="5131" width="12.140625" style="6" bestFit="1" customWidth="1"/>
    <col min="5132" max="5132" width="13.5703125" style="6" bestFit="1" customWidth="1"/>
    <col min="5133" max="5133" width="9.42578125" style="6" bestFit="1" customWidth="1"/>
    <col min="5134" max="5134" width="10.7109375" style="6" bestFit="1" customWidth="1"/>
    <col min="5135" max="5136" width="9.42578125" style="6" bestFit="1" customWidth="1"/>
    <col min="5137" max="5374" width="9.140625" style="6"/>
    <col min="5375" max="5375" width="5.85546875" style="6" customWidth="1"/>
    <col min="5376" max="5376" width="10.85546875" style="6" customWidth="1"/>
    <col min="5377" max="5377" width="12" style="6" customWidth="1"/>
    <col min="5378" max="5378" width="5.28515625" style="6" customWidth="1"/>
    <col min="5379" max="5379" width="17" style="6" customWidth="1"/>
    <col min="5380" max="5380" width="7.7109375" style="6" customWidth="1"/>
    <col min="5381" max="5381" width="11.5703125" style="6" customWidth="1"/>
    <col min="5382" max="5382" width="12.140625" style="6" customWidth="1"/>
    <col min="5383" max="5383" width="12.42578125" style="6" customWidth="1"/>
    <col min="5384" max="5384" width="6.28515625" style="6" customWidth="1"/>
    <col min="5385" max="5385" width="11.140625" style="6" customWidth="1"/>
    <col min="5386" max="5386" width="10.85546875" style="6" customWidth="1"/>
    <col min="5387" max="5387" width="12.140625" style="6" bestFit="1" customWidth="1"/>
    <col min="5388" max="5388" width="13.5703125" style="6" bestFit="1" customWidth="1"/>
    <col min="5389" max="5389" width="9.42578125" style="6" bestFit="1" customWidth="1"/>
    <col min="5390" max="5390" width="10.7109375" style="6" bestFit="1" customWidth="1"/>
    <col min="5391" max="5392" width="9.42578125" style="6" bestFit="1" customWidth="1"/>
    <col min="5393" max="5630" width="9.140625" style="6"/>
    <col min="5631" max="5631" width="5.85546875" style="6" customWidth="1"/>
    <col min="5632" max="5632" width="10.85546875" style="6" customWidth="1"/>
    <col min="5633" max="5633" width="12" style="6" customWidth="1"/>
    <col min="5634" max="5634" width="5.28515625" style="6" customWidth="1"/>
    <col min="5635" max="5635" width="17" style="6" customWidth="1"/>
    <col min="5636" max="5636" width="7.7109375" style="6" customWidth="1"/>
    <col min="5637" max="5637" width="11.5703125" style="6" customWidth="1"/>
    <col min="5638" max="5638" width="12.140625" style="6" customWidth="1"/>
    <col min="5639" max="5639" width="12.42578125" style="6" customWidth="1"/>
    <col min="5640" max="5640" width="6.28515625" style="6" customWidth="1"/>
    <col min="5641" max="5641" width="11.140625" style="6" customWidth="1"/>
    <col min="5642" max="5642" width="10.85546875" style="6" customWidth="1"/>
    <col min="5643" max="5643" width="12.140625" style="6" bestFit="1" customWidth="1"/>
    <col min="5644" max="5644" width="13.5703125" style="6" bestFit="1" customWidth="1"/>
    <col min="5645" max="5645" width="9.42578125" style="6" bestFit="1" customWidth="1"/>
    <col min="5646" max="5646" width="10.7109375" style="6" bestFit="1" customWidth="1"/>
    <col min="5647" max="5648" width="9.42578125" style="6" bestFit="1" customWidth="1"/>
    <col min="5649" max="5886" width="9.140625" style="6"/>
    <col min="5887" max="5887" width="5.85546875" style="6" customWidth="1"/>
    <col min="5888" max="5888" width="10.85546875" style="6" customWidth="1"/>
    <col min="5889" max="5889" width="12" style="6" customWidth="1"/>
    <col min="5890" max="5890" width="5.28515625" style="6" customWidth="1"/>
    <col min="5891" max="5891" width="17" style="6" customWidth="1"/>
    <col min="5892" max="5892" width="7.7109375" style="6" customWidth="1"/>
    <col min="5893" max="5893" width="11.5703125" style="6" customWidth="1"/>
    <col min="5894" max="5894" width="12.140625" style="6" customWidth="1"/>
    <col min="5895" max="5895" width="12.42578125" style="6" customWidth="1"/>
    <col min="5896" max="5896" width="6.28515625" style="6" customWidth="1"/>
    <col min="5897" max="5897" width="11.140625" style="6" customWidth="1"/>
    <col min="5898" max="5898" width="10.85546875" style="6" customWidth="1"/>
    <col min="5899" max="5899" width="12.140625" style="6" bestFit="1" customWidth="1"/>
    <col min="5900" max="5900" width="13.5703125" style="6" bestFit="1" customWidth="1"/>
    <col min="5901" max="5901" width="9.42578125" style="6" bestFit="1" customWidth="1"/>
    <col min="5902" max="5902" width="10.7109375" style="6" bestFit="1" customWidth="1"/>
    <col min="5903" max="5904" width="9.42578125" style="6" bestFit="1" customWidth="1"/>
    <col min="5905" max="6142" width="9.140625" style="6"/>
    <col min="6143" max="6143" width="5.85546875" style="6" customWidth="1"/>
    <col min="6144" max="6144" width="10.85546875" style="6" customWidth="1"/>
    <col min="6145" max="6145" width="12" style="6" customWidth="1"/>
    <col min="6146" max="6146" width="5.28515625" style="6" customWidth="1"/>
    <col min="6147" max="6147" width="17" style="6" customWidth="1"/>
    <col min="6148" max="6148" width="7.7109375" style="6" customWidth="1"/>
    <col min="6149" max="6149" width="11.5703125" style="6" customWidth="1"/>
    <col min="6150" max="6150" width="12.140625" style="6" customWidth="1"/>
    <col min="6151" max="6151" width="12.42578125" style="6" customWidth="1"/>
    <col min="6152" max="6152" width="6.28515625" style="6" customWidth="1"/>
    <col min="6153" max="6153" width="11.140625" style="6" customWidth="1"/>
    <col min="6154" max="6154" width="10.85546875" style="6" customWidth="1"/>
    <col min="6155" max="6155" width="12.140625" style="6" bestFit="1" customWidth="1"/>
    <col min="6156" max="6156" width="13.5703125" style="6" bestFit="1" customWidth="1"/>
    <col min="6157" max="6157" width="9.42578125" style="6" bestFit="1" customWidth="1"/>
    <col min="6158" max="6158" width="10.7109375" style="6" bestFit="1" customWidth="1"/>
    <col min="6159" max="6160" width="9.42578125" style="6" bestFit="1" customWidth="1"/>
    <col min="6161" max="6398" width="9.140625" style="6"/>
    <col min="6399" max="6399" width="5.85546875" style="6" customWidth="1"/>
    <col min="6400" max="6400" width="10.85546875" style="6" customWidth="1"/>
    <col min="6401" max="6401" width="12" style="6" customWidth="1"/>
    <col min="6402" max="6402" width="5.28515625" style="6" customWidth="1"/>
    <col min="6403" max="6403" width="17" style="6" customWidth="1"/>
    <col min="6404" max="6404" width="7.7109375" style="6" customWidth="1"/>
    <col min="6405" max="6405" width="11.5703125" style="6" customWidth="1"/>
    <col min="6406" max="6406" width="12.140625" style="6" customWidth="1"/>
    <col min="6407" max="6407" width="12.42578125" style="6" customWidth="1"/>
    <col min="6408" max="6408" width="6.28515625" style="6" customWidth="1"/>
    <col min="6409" max="6409" width="11.140625" style="6" customWidth="1"/>
    <col min="6410" max="6410" width="10.85546875" style="6" customWidth="1"/>
    <col min="6411" max="6411" width="12.140625" style="6" bestFit="1" customWidth="1"/>
    <col min="6412" max="6412" width="13.5703125" style="6" bestFit="1" customWidth="1"/>
    <col min="6413" max="6413" width="9.42578125" style="6" bestFit="1" customWidth="1"/>
    <col min="6414" max="6414" width="10.7109375" style="6" bestFit="1" customWidth="1"/>
    <col min="6415" max="6416" width="9.42578125" style="6" bestFit="1" customWidth="1"/>
    <col min="6417" max="6654" width="9.140625" style="6"/>
    <col min="6655" max="6655" width="5.85546875" style="6" customWidth="1"/>
    <col min="6656" max="6656" width="10.85546875" style="6" customWidth="1"/>
    <col min="6657" max="6657" width="12" style="6" customWidth="1"/>
    <col min="6658" max="6658" width="5.28515625" style="6" customWidth="1"/>
    <col min="6659" max="6659" width="17" style="6" customWidth="1"/>
    <col min="6660" max="6660" width="7.7109375" style="6" customWidth="1"/>
    <col min="6661" max="6661" width="11.5703125" style="6" customWidth="1"/>
    <col min="6662" max="6662" width="12.140625" style="6" customWidth="1"/>
    <col min="6663" max="6663" width="12.42578125" style="6" customWidth="1"/>
    <col min="6664" max="6664" width="6.28515625" style="6" customWidth="1"/>
    <col min="6665" max="6665" width="11.140625" style="6" customWidth="1"/>
    <col min="6666" max="6666" width="10.85546875" style="6" customWidth="1"/>
    <col min="6667" max="6667" width="12.140625" style="6" bestFit="1" customWidth="1"/>
    <col min="6668" max="6668" width="13.5703125" style="6" bestFit="1" customWidth="1"/>
    <col min="6669" max="6669" width="9.42578125" style="6" bestFit="1" customWidth="1"/>
    <col min="6670" max="6670" width="10.7109375" style="6" bestFit="1" customWidth="1"/>
    <col min="6671" max="6672" width="9.42578125" style="6" bestFit="1" customWidth="1"/>
    <col min="6673" max="6910" width="9.140625" style="6"/>
    <col min="6911" max="6911" width="5.85546875" style="6" customWidth="1"/>
    <col min="6912" max="6912" width="10.85546875" style="6" customWidth="1"/>
    <col min="6913" max="6913" width="12" style="6" customWidth="1"/>
    <col min="6914" max="6914" width="5.28515625" style="6" customWidth="1"/>
    <col min="6915" max="6915" width="17" style="6" customWidth="1"/>
    <col min="6916" max="6916" width="7.7109375" style="6" customWidth="1"/>
    <col min="6917" max="6917" width="11.5703125" style="6" customWidth="1"/>
    <col min="6918" max="6918" width="12.140625" style="6" customWidth="1"/>
    <col min="6919" max="6919" width="12.42578125" style="6" customWidth="1"/>
    <col min="6920" max="6920" width="6.28515625" style="6" customWidth="1"/>
    <col min="6921" max="6921" width="11.140625" style="6" customWidth="1"/>
    <col min="6922" max="6922" width="10.85546875" style="6" customWidth="1"/>
    <col min="6923" max="6923" width="12.140625" style="6" bestFit="1" customWidth="1"/>
    <col min="6924" max="6924" width="13.5703125" style="6" bestFit="1" customWidth="1"/>
    <col min="6925" max="6925" width="9.42578125" style="6" bestFit="1" customWidth="1"/>
    <col min="6926" max="6926" width="10.7109375" style="6" bestFit="1" customWidth="1"/>
    <col min="6927" max="6928" width="9.42578125" style="6" bestFit="1" customWidth="1"/>
    <col min="6929" max="7166" width="9.140625" style="6"/>
    <col min="7167" max="7167" width="5.85546875" style="6" customWidth="1"/>
    <col min="7168" max="7168" width="10.85546875" style="6" customWidth="1"/>
    <col min="7169" max="7169" width="12" style="6" customWidth="1"/>
    <col min="7170" max="7170" width="5.28515625" style="6" customWidth="1"/>
    <col min="7171" max="7171" width="17" style="6" customWidth="1"/>
    <col min="7172" max="7172" width="7.7109375" style="6" customWidth="1"/>
    <col min="7173" max="7173" width="11.5703125" style="6" customWidth="1"/>
    <col min="7174" max="7174" width="12.140625" style="6" customWidth="1"/>
    <col min="7175" max="7175" width="12.42578125" style="6" customWidth="1"/>
    <col min="7176" max="7176" width="6.28515625" style="6" customWidth="1"/>
    <col min="7177" max="7177" width="11.140625" style="6" customWidth="1"/>
    <col min="7178" max="7178" width="10.85546875" style="6" customWidth="1"/>
    <col min="7179" max="7179" width="12.140625" style="6" bestFit="1" customWidth="1"/>
    <col min="7180" max="7180" width="13.5703125" style="6" bestFit="1" customWidth="1"/>
    <col min="7181" max="7181" width="9.42578125" style="6" bestFit="1" customWidth="1"/>
    <col min="7182" max="7182" width="10.7109375" style="6" bestFit="1" customWidth="1"/>
    <col min="7183" max="7184" width="9.42578125" style="6" bestFit="1" customWidth="1"/>
    <col min="7185" max="7422" width="9.140625" style="6"/>
    <col min="7423" max="7423" width="5.85546875" style="6" customWidth="1"/>
    <col min="7424" max="7424" width="10.85546875" style="6" customWidth="1"/>
    <col min="7425" max="7425" width="12" style="6" customWidth="1"/>
    <col min="7426" max="7426" width="5.28515625" style="6" customWidth="1"/>
    <col min="7427" max="7427" width="17" style="6" customWidth="1"/>
    <col min="7428" max="7428" width="7.7109375" style="6" customWidth="1"/>
    <col min="7429" max="7429" width="11.5703125" style="6" customWidth="1"/>
    <col min="7430" max="7430" width="12.140625" style="6" customWidth="1"/>
    <col min="7431" max="7431" width="12.42578125" style="6" customWidth="1"/>
    <col min="7432" max="7432" width="6.28515625" style="6" customWidth="1"/>
    <col min="7433" max="7433" width="11.140625" style="6" customWidth="1"/>
    <col min="7434" max="7434" width="10.85546875" style="6" customWidth="1"/>
    <col min="7435" max="7435" width="12.140625" style="6" bestFit="1" customWidth="1"/>
    <col min="7436" max="7436" width="13.5703125" style="6" bestFit="1" customWidth="1"/>
    <col min="7437" max="7437" width="9.42578125" style="6" bestFit="1" customWidth="1"/>
    <col min="7438" max="7438" width="10.7109375" style="6" bestFit="1" customWidth="1"/>
    <col min="7439" max="7440" width="9.42578125" style="6" bestFit="1" customWidth="1"/>
    <col min="7441" max="7678" width="9.140625" style="6"/>
    <col min="7679" max="7679" width="5.85546875" style="6" customWidth="1"/>
    <col min="7680" max="7680" width="10.85546875" style="6" customWidth="1"/>
    <col min="7681" max="7681" width="12" style="6" customWidth="1"/>
    <col min="7682" max="7682" width="5.28515625" style="6" customWidth="1"/>
    <col min="7683" max="7683" width="17" style="6" customWidth="1"/>
    <col min="7684" max="7684" width="7.7109375" style="6" customWidth="1"/>
    <col min="7685" max="7685" width="11.5703125" style="6" customWidth="1"/>
    <col min="7686" max="7686" width="12.140625" style="6" customWidth="1"/>
    <col min="7687" max="7687" width="12.42578125" style="6" customWidth="1"/>
    <col min="7688" max="7688" width="6.28515625" style="6" customWidth="1"/>
    <col min="7689" max="7689" width="11.140625" style="6" customWidth="1"/>
    <col min="7690" max="7690" width="10.85546875" style="6" customWidth="1"/>
    <col min="7691" max="7691" width="12.140625" style="6" bestFit="1" customWidth="1"/>
    <col min="7692" max="7692" width="13.5703125" style="6" bestFit="1" customWidth="1"/>
    <col min="7693" max="7693" width="9.42578125" style="6" bestFit="1" customWidth="1"/>
    <col min="7694" max="7694" width="10.7109375" style="6" bestFit="1" customWidth="1"/>
    <col min="7695" max="7696" width="9.42578125" style="6" bestFit="1" customWidth="1"/>
    <col min="7697" max="7934" width="9.140625" style="6"/>
    <col min="7935" max="7935" width="5.85546875" style="6" customWidth="1"/>
    <col min="7936" max="7936" width="10.85546875" style="6" customWidth="1"/>
    <col min="7937" max="7937" width="12" style="6" customWidth="1"/>
    <col min="7938" max="7938" width="5.28515625" style="6" customWidth="1"/>
    <col min="7939" max="7939" width="17" style="6" customWidth="1"/>
    <col min="7940" max="7940" width="7.7109375" style="6" customWidth="1"/>
    <col min="7941" max="7941" width="11.5703125" style="6" customWidth="1"/>
    <col min="7942" max="7942" width="12.140625" style="6" customWidth="1"/>
    <col min="7943" max="7943" width="12.42578125" style="6" customWidth="1"/>
    <col min="7944" max="7944" width="6.28515625" style="6" customWidth="1"/>
    <col min="7945" max="7945" width="11.140625" style="6" customWidth="1"/>
    <col min="7946" max="7946" width="10.85546875" style="6" customWidth="1"/>
    <col min="7947" max="7947" width="12.140625" style="6" bestFit="1" customWidth="1"/>
    <col min="7948" max="7948" width="13.5703125" style="6" bestFit="1" customWidth="1"/>
    <col min="7949" max="7949" width="9.42578125" style="6" bestFit="1" customWidth="1"/>
    <col min="7950" max="7950" width="10.7109375" style="6" bestFit="1" customWidth="1"/>
    <col min="7951" max="7952" width="9.42578125" style="6" bestFit="1" customWidth="1"/>
    <col min="7953" max="8190" width="9.140625" style="6"/>
    <col min="8191" max="8191" width="5.85546875" style="6" customWidth="1"/>
    <col min="8192" max="8192" width="10.85546875" style="6" customWidth="1"/>
    <col min="8193" max="8193" width="12" style="6" customWidth="1"/>
    <col min="8194" max="8194" width="5.28515625" style="6" customWidth="1"/>
    <col min="8195" max="8195" width="17" style="6" customWidth="1"/>
    <col min="8196" max="8196" width="7.7109375" style="6" customWidth="1"/>
    <col min="8197" max="8197" width="11.5703125" style="6" customWidth="1"/>
    <col min="8198" max="8198" width="12.140625" style="6" customWidth="1"/>
    <col min="8199" max="8199" width="12.42578125" style="6" customWidth="1"/>
    <col min="8200" max="8200" width="6.28515625" style="6" customWidth="1"/>
    <col min="8201" max="8201" width="11.140625" style="6" customWidth="1"/>
    <col min="8202" max="8202" width="10.85546875" style="6" customWidth="1"/>
    <col min="8203" max="8203" width="12.140625" style="6" bestFit="1" customWidth="1"/>
    <col min="8204" max="8204" width="13.5703125" style="6" bestFit="1" customWidth="1"/>
    <col min="8205" max="8205" width="9.42578125" style="6" bestFit="1" customWidth="1"/>
    <col min="8206" max="8206" width="10.7109375" style="6" bestFit="1" customWidth="1"/>
    <col min="8207" max="8208" width="9.42578125" style="6" bestFit="1" customWidth="1"/>
    <col min="8209" max="8446" width="9.140625" style="6"/>
    <col min="8447" max="8447" width="5.85546875" style="6" customWidth="1"/>
    <col min="8448" max="8448" width="10.85546875" style="6" customWidth="1"/>
    <col min="8449" max="8449" width="12" style="6" customWidth="1"/>
    <col min="8450" max="8450" width="5.28515625" style="6" customWidth="1"/>
    <col min="8451" max="8451" width="17" style="6" customWidth="1"/>
    <col min="8452" max="8452" width="7.7109375" style="6" customWidth="1"/>
    <col min="8453" max="8453" width="11.5703125" style="6" customWidth="1"/>
    <col min="8454" max="8454" width="12.140625" style="6" customWidth="1"/>
    <col min="8455" max="8455" width="12.42578125" style="6" customWidth="1"/>
    <col min="8456" max="8456" width="6.28515625" style="6" customWidth="1"/>
    <col min="8457" max="8457" width="11.140625" style="6" customWidth="1"/>
    <col min="8458" max="8458" width="10.85546875" style="6" customWidth="1"/>
    <col min="8459" max="8459" width="12.140625" style="6" bestFit="1" customWidth="1"/>
    <col min="8460" max="8460" width="13.5703125" style="6" bestFit="1" customWidth="1"/>
    <col min="8461" max="8461" width="9.42578125" style="6" bestFit="1" customWidth="1"/>
    <col min="8462" max="8462" width="10.7109375" style="6" bestFit="1" customWidth="1"/>
    <col min="8463" max="8464" width="9.42578125" style="6" bestFit="1" customWidth="1"/>
    <col min="8465" max="8702" width="9.140625" style="6"/>
    <col min="8703" max="8703" width="5.85546875" style="6" customWidth="1"/>
    <col min="8704" max="8704" width="10.85546875" style="6" customWidth="1"/>
    <col min="8705" max="8705" width="12" style="6" customWidth="1"/>
    <col min="8706" max="8706" width="5.28515625" style="6" customWidth="1"/>
    <col min="8707" max="8707" width="17" style="6" customWidth="1"/>
    <col min="8708" max="8708" width="7.7109375" style="6" customWidth="1"/>
    <col min="8709" max="8709" width="11.5703125" style="6" customWidth="1"/>
    <col min="8710" max="8710" width="12.140625" style="6" customWidth="1"/>
    <col min="8711" max="8711" width="12.42578125" style="6" customWidth="1"/>
    <col min="8712" max="8712" width="6.28515625" style="6" customWidth="1"/>
    <col min="8713" max="8713" width="11.140625" style="6" customWidth="1"/>
    <col min="8714" max="8714" width="10.85546875" style="6" customWidth="1"/>
    <col min="8715" max="8715" width="12.140625" style="6" bestFit="1" customWidth="1"/>
    <col min="8716" max="8716" width="13.5703125" style="6" bestFit="1" customWidth="1"/>
    <col min="8717" max="8717" width="9.42578125" style="6" bestFit="1" customWidth="1"/>
    <col min="8718" max="8718" width="10.7109375" style="6" bestFit="1" customWidth="1"/>
    <col min="8719" max="8720" width="9.42578125" style="6" bestFit="1" customWidth="1"/>
    <col min="8721" max="8958" width="9.140625" style="6"/>
    <col min="8959" max="8959" width="5.85546875" style="6" customWidth="1"/>
    <col min="8960" max="8960" width="10.85546875" style="6" customWidth="1"/>
    <col min="8961" max="8961" width="12" style="6" customWidth="1"/>
    <col min="8962" max="8962" width="5.28515625" style="6" customWidth="1"/>
    <col min="8963" max="8963" width="17" style="6" customWidth="1"/>
    <col min="8964" max="8964" width="7.7109375" style="6" customWidth="1"/>
    <col min="8965" max="8965" width="11.5703125" style="6" customWidth="1"/>
    <col min="8966" max="8966" width="12.140625" style="6" customWidth="1"/>
    <col min="8967" max="8967" width="12.42578125" style="6" customWidth="1"/>
    <col min="8968" max="8968" width="6.28515625" style="6" customWidth="1"/>
    <col min="8969" max="8969" width="11.140625" style="6" customWidth="1"/>
    <col min="8970" max="8970" width="10.85546875" style="6" customWidth="1"/>
    <col min="8971" max="8971" width="12.140625" style="6" bestFit="1" customWidth="1"/>
    <col min="8972" max="8972" width="13.5703125" style="6" bestFit="1" customWidth="1"/>
    <col min="8973" max="8973" width="9.42578125" style="6" bestFit="1" customWidth="1"/>
    <col min="8974" max="8974" width="10.7109375" style="6" bestFit="1" customWidth="1"/>
    <col min="8975" max="8976" width="9.42578125" style="6" bestFit="1" customWidth="1"/>
    <col min="8977" max="9214" width="9.140625" style="6"/>
    <col min="9215" max="9215" width="5.85546875" style="6" customWidth="1"/>
    <col min="9216" max="9216" width="10.85546875" style="6" customWidth="1"/>
    <col min="9217" max="9217" width="12" style="6" customWidth="1"/>
    <col min="9218" max="9218" width="5.28515625" style="6" customWidth="1"/>
    <col min="9219" max="9219" width="17" style="6" customWidth="1"/>
    <col min="9220" max="9220" width="7.7109375" style="6" customWidth="1"/>
    <col min="9221" max="9221" width="11.5703125" style="6" customWidth="1"/>
    <col min="9222" max="9222" width="12.140625" style="6" customWidth="1"/>
    <col min="9223" max="9223" width="12.42578125" style="6" customWidth="1"/>
    <col min="9224" max="9224" width="6.28515625" style="6" customWidth="1"/>
    <col min="9225" max="9225" width="11.140625" style="6" customWidth="1"/>
    <col min="9226" max="9226" width="10.85546875" style="6" customWidth="1"/>
    <col min="9227" max="9227" width="12.140625" style="6" bestFit="1" customWidth="1"/>
    <col min="9228" max="9228" width="13.5703125" style="6" bestFit="1" customWidth="1"/>
    <col min="9229" max="9229" width="9.42578125" style="6" bestFit="1" customWidth="1"/>
    <col min="9230" max="9230" width="10.7109375" style="6" bestFit="1" customWidth="1"/>
    <col min="9231" max="9232" width="9.42578125" style="6" bestFit="1" customWidth="1"/>
    <col min="9233" max="9470" width="9.140625" style="6"/>
    <col min="9471" max="9471" width="5.85546875" style="6" customWidth="1"/>
    <col min="9472" max="9472" width="10.85546875" style="6" customWidth="1"/>
    <col min="9473" max="9473" width="12" style="6" customWidth="1"/>
    <col min="9474" max="9474" width="5.28515625" style="6" customWidth="1"/>
    <col min="9475" max="9475" width="17" style="6" customWidth="1"/>
    <col min="9476" max="9476" width="7.7109375" style="6" customWidth="1"/>
    <col min="9477" max="9477" width="11.5703125" style="6" customWidth="1"/>
    <col min="9478" max="9478" width="12.140625" style="6" customWidth="1"/>
    <col min="9479" max="9479" width="12.42578125" style="6" customWidth="1"/>
    <col min="9480" max="9480" width="6.28515625" style="6" customWidth="1"/>
    <col min="9481" max="9481" width="11.140625" style="6" customWidth="1"/>
    <col min="9482" max="9482" width="10.85546875" style="6" customWidth="1"/>
    <col min="9483" max="9483" width="12.140625" style="6" bestFit="1" customWidth="1"/>
    <col min="9484" max="9484" width="13.5703125" style="6" bestFit="1" customWidth="1"/>
    <col min="9485" max="9485" width="9.42578125" style="6" bestFit="1" customWidth="1"/>
    <col min="9486" max="9486" width="10.7109375" style="6" bestFit="1" customWidth="1"/>
    <col min="9487" max="9488" width="9.42578125" style="6" bestFit="1" customWidth="1"/>
    <col min="9489" max="9726" width="9.140625" style="6"/>
    <col min="9727" max="9727" width="5.85546875" style="6" customWidth="1"/>
    <col min="9728" max="9728" width="10.85546875" style="6" customWidth="1"/>
    <col min="9729" max="9729" width="12" style="6" customWidth="1"/>
    <col min="9730" max="9730" width="5.28515625" style="6" customWidth="1"/>
    <col min="9731" max="9731" width="17" style="6" customWidth="1"/>
    <col min="9732" max="9732" width="7.7109375" style="6" customWidth="1"/>
    <col min="9733" max="9733" width="11.5703125" style="6" customWidth="1"/>
    <col min="9734" max="9734" width="12.140625" style="6" customWidth="1"/>
    <col min="9735" max="9735" width="12.42578125" style="6" customWidth="1"/>
    <col min="9736" max="9736" width="6.28515625" style="6" customWidth="1"/>
    <col min="9737" max="9737" width="11.140625" style="6" customWidth="1"/>
    <col min="9738" max="9738" width="10.85546875" style="6" customWidth="1"/>
    <col min="9739" max="9739" width="12.140625" style="6" bestFit="1" customWidth="1"/>
    <col min="9740" max="9740" width="13.5703125" style="6" bestFit="1" customWidth="1"/>
    <col min="9741" max="9741" width="9.42578125" style="6" bestFit="1" customWidth="1"/>
    <col min="9742" max="9742" width="10.7109375" style="6" bestFit="1" customWidth="1"/>
    <col min="9743" max="9744" width="9.42578125" style="6" bestFit="1" customWidth="1"/>
    <col min="9745" max="9982" width="9.140625" style="6"/>
    <col min="9983" max="9983" width="5.85546875" style="6" customWidth="1"/>
    <col min="9984" max="9984" width="10.85546875" style="6" customWidth="1"/>
    <col min="9985" max="9985" width="12" style="6" customWidth="1"/>
    <col min="9986" max="9986" width="5.28515625" style="6" customWidth="1"/>
    <col min="9987" max="9987" width="17" style="6" customWidth="1"/>
    <col min="9988" max="9988" width="7.7109375" style="6" customWidth="1"/>
    <col min="9989" max="9989" width="11.5703125" style="6" customWidth="1"/>
    <col min="9990" max="9990" width="12.140625" style="6" customWidth="1"/>
    <col min="9991" max="9991" width="12.42578125" style="6" customWidth="1"/>
    <col min="9992" max="9992" width="6.28515625" style="6" customWidth="1"/>
    <col min="9993" max="9993" width="11.140625" style="6" customWidth="1"/>
    <col min="9994" max="9994" width="10.85546875" style="6" customWidth="1"/>
    <col min="9995" max="9995" width="12.140625" style="6" bestFit="1" customWidth="1"/>
    <col min="9996" max="9996" width="13.5703125" style="6" bestFit="1" customWidth="1"/>
    <col min="9997" max="9997" width="9.42578125" style="6" bestFit="1" customWidth="1"/>
    <col min="9998" max="9998" width="10.7109375" style="6" bestFit="1" customWidth="1"/>
    <col min="9999" max="10000" width="9.42578125" style="6" bestFit="1" customWidth="1"/>
    <col min="10001" max="10238" width="9.140625" style="6"/>
    <col min="10239" max="10239" width="5.85546875" style="6" customWidth="1"/>
    <col min="10240" max="10240" width="10.85546875" style="6" customWidth="1"/>
    <col min="10241" max="10241" width="12" style="6" customWidth="1"/>
    <col min="10242" max="10242" width="5.28515625" style="6" customWidth="1"/>
    <col min="10243" max="10243" width="17" style="6" customWidth="1"/>
    <col min="10244" max="10244" width="7.7109375" style="6" customWidth="1"/>
    <col min="10245" max="10245" width="11.5703125" style="6" customWidth="1"/>
    <col min="10246" max="10246" width="12.140625" style="6" customWidth="1"/>
    <col min="10247" max="10247" width="12.42578125" style="6" customWidth="1"/>
    <col min="10248" max="10248" width="6.28515625" style="6" customWidth="1"/>
    <col min="10249" max="10249" width="11.140625" style="6" customWidth="1"/>
    <col min="10250" max="10250" width="10.85546875" style="6" customWidth="1"/>
    <col min="10251" max="10251" width="12.140625" style="6" bestFit="1" customWidth="1"/>
    <col min="10252" max="10252" width="13.5703125" style="6" bestFit="1" customWidth="1"/>
    <col min="10253" max="10253" width="9.42578125" style="6" bestFit="1" customWidth="1"/>
    <col min="10254" max="10254" width="10.7109375" style="6" bestFit="1" customWidth="1"/>
    <col min="10255" max="10256" width="9.42578125" style="6" bestFit="1" customWidth="1"/>
    <col min="10257" max="10494" width="9.140625" style="6"/>
    <col min="10495" max="10495" width="5.85546875" style="6" customWidth="1"/>
    <col min="10496" max="10496" width="10.85546875" style="6" customWidth="1"/>
    <col min="10497" max="10497" width="12" style="6" customWidth="1"/>
    <col min="10498" max="10498" width="5.28515625" style="6" customWidth="1"/>
    <col min="10499" max="10499" width="17" style="6" customWidth="1"/>
    <col min="10500" max="10500" width="7.7109375" style="6" customWidth="1"/>
    <col min="10501" max="10501" width="11.5703125" style="6" customWidth="1"/>
    <col min="10502" max="10502" width="12.140625" style="6" customWidth="1"/>
    <col min="10503" max="10503" width="12.42578125" style="6" customWidth="1"/>
    <col min="10504" max="10504" width="6.28515625" style="6" customWidth="1"/>
    <col min="10505" max="10505" width="11.140625" style="6" customWidth="1"/>
    <col min="10506" max="10506" width="10.85546875" style="6" customWidth="1"/>
    <col min="10507" max="10507" width="12.140625" style="6" bestFit="1" customWidth="1"/>
    <col min="10508" max="10508" width="13.5703125" style="6" bestFit="1" customWidth="1"/>
    <col min="10509" max="10509" width="9.42578125" style="6" bestFit="1" customWidth="1"/>
    <col min="10510" max="10510" width="10.7109375" style="6" bestFit="1" customWidth="1"/>
    <col min="10511" max="10512" width="9.42578125" style="6" bestFit="1" customWidth="1"/>
    <col min="10513" max="10750" width="9.140625" style="6"/>
    <col min="10751" max="10751" width="5.85546875" style="6" customWidth="1"/>
    <col min="10752" max="10752" width="10.85546875" style="6" customWidth="1"/>
    <col min="10753" max="10753" width="12" style="6" customWidth="1"/>
    <col min="10754" max="10754" width="5.28515625" style="6" customWidth="1"/>
    <col min="10755" max="10755" width="17" style="6" customWidth="1"/>
    <col min="10756" max="10756" width="7.7109375" style="6" customWidth="1"/>
    <col min="10757" max="10757" width="11.5703125" style="6" customWidth="1"/>
    <col min="10758" max="10758" width="12.140625" style="6" customWidth="1"/>
    <col min="10759" max="10759" width="12.42578125" style="6" customWidth="1"/>
    <col min="10760" max="10760" width="6.28515625" style="6" customWidth="1"/>
    <col min="10761" max="10761" width="11.140625" style="6" customWidth="1"/>
    <col min="10762" max="10762" width="10.85546875" style="6" customWidth="1"/>
    <col min="10763" max="10763" width="12.140625" style="6" bestFit="1" customWidth="1"/>
    <col min="10764" max="10764" width="13.5703125" style="6" bestFit="1" customWidth="1"/>
    <col min="10765" max="10765" width="9.42578125" style="6" bestFit="1" customWidth="1"/>
    <col min="10766" max="10766" width="10.7109375" style="6" bestFit="1" customWidth="1"/>
    <col min="10767" max="10768" width="9.42578125" style="6" bestFit="1" customWidth="1"/>
    <col min="10769" max="11006" width="9.140625" style="6"/>
    <col min="11007" max="11007" width="5.85546875" style="6" customWidth="1"/>
    <col min="11008" max="11008" width="10.85546875" style="6" customWidth="1"/>
    <col min="11009" max="11009" width="12" style="6" customWidth="1"/>
    <col min="11010" max="11010" width="5.28515625" style="6" customWidth="1"/>
    <col min="11011" max="11011" width="17" style="6" customWidth="1"/>
    <col min="11012" max="11012" width="7.7109375" style="6" customWidth="1"/>
    <col min="11013" max="11013" width="11.5703125" style="6" customWidth="1"/>
    <col min="11014" max="11014" width="12.140625" style="6" customWidth="1"/>
    <col min="11015" max="11015" width="12.42578125" style="6" customWidth="1"/>
    <col min="11016" max="11016" width="6.28515625" style="6" customWidth="1"/>
    <col min="11017" max="11017" width="11.140625" style="6" customWidth="1"/>
    <col min="11018" max="11018" width="10.85546875" style="6" customWidth="1"/>
    <col min="11019" max="11019" width="12.140625" style="6" bestFit="1" customWidth="1"/>
    <col min="11020" max="11020" width="13.5703125" style="6" bestFit="1" customWidth="1"/>
    <col min="11021" max="11021" width="9.42578125" style="6" bestFit="1" customWidth="1"/>
    <col min="11022" max="11022" width="10.7109375" style="6" bestFit="1" customWidth="1"/>
    <col min="11023" max="11024" width="9.42578125" style="6" bestFit="1" customWidth="1"/>
    <col min="11025" max="11262" width="9.140625" style="6"/>
    <col min="11263" max="11263" width="5.85546875" style="6" customWidth="1"/>
    <col min="11264" max="11264" width="10.85546875" style="6" customWidth="1"/>
    <col min="11265" max="11265" width="12" style="6" customWidth="1"/>
    <col min="11266" max="11266" width="5.28515625" style="6" customWidth="1"/>
    <col min="11267" max="11267" width="17" style="6" customWidth="1"/>
    <col min="11268" max="11268" width="7.7109375" style="6" customWidth="1"/>
    <col min="11269" max="11269" width="11.5703125" style="6" customWidth="1"/>
    <col min="11270" max="11270" width="12.140625" style="6" customWidth="1"/>
    <col min="11271" max="11271" width="12.42578125" style="6" customWidth="1"/>
    <col min="11272" max="11272" width="6.28515625" style="6" customWidth="1"/>
    <col min="11273" max="11273" width="11.140625" style="6" customWidth="1"/>
    <col min="11274" max="11274" width="10.85546875" style="6" customWidth="1"/>
    <col min="11275" max="11275" width="12.140625" style="6" bestFit="1" customWidth="1"/>
    <col min="11276" max="11276" width="13.5703125" style="6" bestFit="1" customWidth="1"/>
    <col min="11277" max="11277" width="9.42578125" style="6" bestFit="1" customWidth="1"/>
    <col min="11278" max="11278" width="10.7109375" style="6" bestFit="1" customWidth="1"/>
    <col min="11279" max="11280" width="9.42578125" style="6" bestFit="1" customWidth="1"/>
    <col min="11281" max="11518" width="9.140625" style="6"/>
    <col min="11519" max="11519" width="5.85546875" style="6" customWidth="1"/>
    <col min="11520" max="11520" width="10.85546875" style="6" customWidth="1"/>
    <col min="11521" max="11521" width="12" style="6" customWidth="1"/>
    <col min="11522" max="11522" width="5.28515625" style="6" customWidth="1"/>
    <col min="11523" max="11523" width="17" style="6" customWidth="1"/>
    <col min="11524" max="11524" width="7.7109375" style="6" customWidth="1"/>
    <col min="11525" max="11525" width="11.5703125" style="6" customWidth="1"/>
    <col min="11526" max="11526" width="12.140625" style="6" customWidth="1"/>
    <col min="11527" max="11527" width="12.42578125" style="6" customWidth="1"/>
    <col min="11528" max="11528" width="6.28515625" style="6" customWidth="1"/>
    <col min="11529" max="11529" width="11.140625" style="6" customWidth="1"/>
    <col min="11530" max="11530" width="10.85546875" style="6" customWidth="1"/>
    <col min="11531" max="11531" width="12.140625" style="6" bestFit="1" customWidth="1"/>
    <col min="11532" max="11532" width="13.5703125" style="6" bestFit="1" customWidth="1"/>
    <col min="11533" max="11533" width="9.42578125" style="6" bestFit="1" customWidth="1"/>
    <col min="11534" max="11534" width="10.7109375" style="6" bestFit="1" customWidth="1"/>
    <col min="11535" max="11536" width="9.42578125" style="6" bestFit="1" customWidth="1"/>
    <col min="11537" max="11774" width="9.140625" style="6"/>
    <col min="11775" max="11775" width="5.85546875" style="6" customWidth="1"/>
    <col min="11776" max="11776" width="10.85546875" style="6" customWidth="1"/>
    <col min="11777" max="11777" width="12" style="6" customWidth="1"/>
    <col min="11778" max="11778" width="5.28515625" style="6" customWidth="1"/>
    <col min="11779" max="11779" width="17" style="6" customWidth="1"/>
    <col min="11780" max="11780" width="7.7109375" style="6" customWidth="1"/>
    <col min="11781" max="11781" width="11.5703125" style="6" customWidth="1"/>
    <col min="11782" max="11782" width="12.140625" style="6" customWidth="1"/>
    <col min="11783" max="11783" width="12.42578125" style="6" customWidth="1"/>
    <col min="11784" max="11784" width="6.28515625" style="6" customWidth="1"/>
    <col min="11785" max="11785" width="11.140625" style="6" customWidth="1"/>
    <col min="11786" max="11786" width="10.85546875" style="6" customWidth="1"/>
    <col min="11787" max="11787" width="12.140625" style="6" bestFit="1" customWidth="1"/>
    <col min="11788" max="11788" width="13.5703125" style="6" bestFit="1" customWidth="1"/>
    <col min="11789" max="11789" width="9.42578125" style="6" bestFit="1" customWidth="1"/>
    <col min="11790" max="11790" width="10.7109375" style="6" bestFit="1" customWidth="1"/>
    <col min="11791" max="11792" width="9.42578125" style="6" bestFit="1" customWidth="1"/>
    <col min="11793" max="12030" width="9.140625" style="6"/>
    <col min="12031" max="12031" width="5.85546875" style="6" customWidth="1"/>
    <col min="12032" max="12032" width="10.85546875" style="6" customWidth="1"/>
    <col min="12033" max="12033" width="12" style="6" customWidth="1"/>
    <col min="12034" max="12034" width="5.28515625" style="6" customWidth="1"/>
    <col min="12035" max="12035" width="17" style="6" customWidth="1"/>
    <col min="12036" max="12036" width="7.7109375" style="6" customWidth="1"/>
    <col min="12037" max="12037" width="11.5703125" style="6" customWidth="1"/>
    <col min="12038" max="12038" width="12.140625" style="6" customWidth="1"/>
    <col min="12039" max="12039" width="12.42578125" style="6" customWidth="1"/>
    <col min="12040" max="12040" width="6.28515625" style="6" customWidth="1"/>
    <col min="12041" max="12041" width="11.140625" style="6" customWidth="1"/>
    <col min="12042" max="12042" width="10.85546875" style="6" customWidth="1"/>
    <col min="12043" max="12043" width="12.140625" style="6" bestFit="1" customWidth="1"/>
    <col min="12044" max="12044" width="13.5703125" style="6" bestFit="1" customWidth="1"/>
    <col min="12045" max="12045" width="9.42578125" style="6" bestFit="1" customWidth="1"/>
    <col min="12046" max="12046" width="10.7109375" style="6" bestFit="1" customWidth="1"/>
    <col min="12047" max="12048" width="9.42578125" style="6" bestFit="1" customWidth="1"/>
    <col min="12049" max="12286" width="9.140625" style="6"/>
    <col min="12287" max="12287" width="5.85546875" style="6" customWidth="1"/>
    <col min="12288" max="12288" width="10.85546875" style="6" customWidth="1"/>
    <col min="12289" max="12289" width="12" style="6" customWidth="1"/>
    <col min="12290" max="12290" width="5.28515625" style="6" customWidth="1"/>
    <col min="12291" max="12291" width="17" style="6" customWidth="1"/>
    <col min="12292" max="12292" width="7.7109375" style="6" customWidth="1"/>
    <col min="12293" max="12293" width="11.5703125" style="6" customWidth="1"/>
    <col min="12294" max="12294" width="12.140625" style="6" customWidth="1"/>
    <col min="12295" max="12295" width="12.42578125" style="6" customWidth="1"/>
    <col min="12296" max="12296" width="6.28515625" style="6" customWidth="1"/>
    <col min="12297" max="12297" width="11.140625" style="6" customWidth="1"/>
    <col min="12298" max="12298" width="10.85546875" style="6" customWidth="1"/>
    <col min="12299" max="12299" width="12.140625" style="6" bestFit="1" customWidth="1"/>
    <col min="12300" max="12300" width="13.5703125" style="6" bestFit="1" customWidth="1"/>
    <col min="12301" max="12301" width="9.42578125" style="6" bestFit="1" customWidth="1"/>
    <col min="12302" max="12302" width="10.7109375" style="6" bestFit="1" customWidth="1"/>
    <col min="12303" max="12304" width="9.42578125" style="6" bestFit="1" customWidth="1"/>
    <col min="12305" max="12542" width="9.140625" style="6"/>
    <col min="12543" max="12543" width="5.85546875" style="6" customWidth="1"/>
    <col min="12544" max="12544" width="10.85546875" style="6" customWidth="1"/>
    <col min="12545" max="12545" width="12" style="6" customWidth="1"/>
    <col min="12546" max="12546" width="5.28515625" style="6" customWidth="1"/>
    <col min="12547" max="12547" width="17" style="6" customWidth="1"/>
    <col min="12548" max="12548" width="7.7109375" style="6" customWidth="1"/>
    <col min="12549" max="12549" width="11.5703125" style="6" customWidth="1"/>
    <col min="12550" max="12550" width="12.140625" style="6" customWidth="1"/>
    <col min="12551" max="12551" width="12.42578125" style="6" customWidth="1"/>
    <col min="12552" max="12552" width="6.28515625" style="6" customWidth="1"/>
    <col min="12553" max="12553" width="11.140625" style="6" customWidth="1"/>
    <col min="12554" max="12554" width="10.85546875" style="6" customWidth="1"/>
    <col min="12555" max="12555" width="12.140625" style="6" bestFit="1" customWidth="1"/>
    <col min="12556" max="12556" width="13.5703125" style="6" bestFit="1" customWidth="1"/>
    <col min="12557" max="12557" width="9.42578125" style="6" bestFit="1" customWidth="1"/>
    <col min="12558" max="12558" width="10.7109375" style="6" bestFit="1" customWidth="1"/>
    <col min="12559" max="12560" width="9.42578125" style="6" bestFit="1" customWidth="1"/>
    <col min="12561" max="12798" width="9.140625" style="6"/>
    <col min="12799" max="12799" width="5.85546875" style="6" customWidth="1"/>
    <col min="12800" max="12800" width="10.85546875" style="6" customWidth="1"/>
    <col min="12801" max="12801" width="12" style="6" customWidth="1"/>
    <col min="12802" max="12802" width="5.28515625" style="6" customWidth="1"/>
    <col min="12803" max="12803" width="17" style="6" customWidth="1"/>
    <col min="12804" max="12804" width="7.7109375" style="6" customWidth="1"/>
    <col min="12805" max="12805" width="11.5703125" style="6" customWidth="1"/>
    <col min="12806" max="12806" width="12.140625" style="6" customWidth="1"/>
    <col min="12807" max="12807" width="12.42578125" style="6" customWidth="1"/>
    <col min="12808" max="12808" width="6.28515625" style="6" customWidth="1"/>
    <col min="12809" max="12809" width="11.140625" style="6" customWidth="1"/>
    <col min="12810" max="12810" width="10.85546875" style="6" customWidth="1"/>
    <col min="12811" max="12811" width="12.140625" style="6" bestFit="1" customWidth="1"/>
    <col min="12812" max="12812" width="13.5703125" style="6" bestFit="1" customWidth="1"/>
    <col min="12813" max="12813" width="9.42578125" style="6" bestFit="1" customWidth="1"/>
    <col min="12814" max="12814" width="10.7109375" style="6" bestFit="1" customWidth="1"/>
    <col min="12815" max="12816" width="9.42578125" style="6" bestFit="1" customWidth="1"/>
    <col min="12817" max="13054" width="9.140625" style="6"/>
    <col min="13055" max="13055" width="5.85546875" style="6" customWidth="1"/>
    <col min="13056" max="13056" width="10.85546875" style="6" customWidth="1"/>
    <col min="13057" max="13057" width="12" style="6" customWidth="1"/>
    <col min="13058" max="13058" width="5.28515625" style="6" customWidth="1"/>
    <col min="13059" max="13059" width="17" style="6" customWidth="1"/>
    <col min="13060" max="13060" width="7.7109375" style="6" customWidth="1"/>
    <col min="13061" max="13061" width="11.5703125" style="6" customWidth="1"/>
    <col min="13062" max="13062" width="12.140625" style="6" customWidth="1"/>
    <col min="13063" max="13063" width="12.42578125" style="6" customWidth="1"/>
    <col min="13064" max="13064" width="6.28515625" style="6" customWidth="1"/>
    <col min="13065" max="13065" width="11.140625" style="6" customWidth="1"/>
    <col min="13066" max="13066" width="10.85546875" style="6" customWidth="1"/>
    <col min="13067" max="13067" width="12.140625" style="6" bestFit="1" customWidth="1"/>
    <col min="13068" max="13068" width="13.5703125" style="6" bestFit="1" customWidth="1"/>
    <col min="13069" max="13069" width="9.42578125" style="6" bestFit="1" customWidth="1"/>
    <col min="13070" max="13070" width="10.7109375" style="6" bestFit="1" customWidth="1"/>
    <col min="13071" max="13072" width="9.42578125" style="6" bestFit="1" customWidth="1"/>
    <col min="13073" max="13310" width="9.140625" style="6"/>
    <col min="13311" max="13311" width="5.85546875" style="6" customWidth="1"/>
    <col min="13312" max="13312" width="10.85546875" style="6" customWidth="1"/>
    <col min="13313" max="13313" width="12" style="6" customWidth="1"/>
    <col min="13314" max="13314" width="5.28515625" style="6" customWidth="1"/>
    <col min="13315" max="13315" width="17" style="6" customWidth="1"/>
    <col min="13316" max="13316" width="7.7109375" style="6" customWidth="1"/>
    <col min="13317" max="13317" width="11.5703125" style="6" customWidth="1"/>
    <col min="13318" max="13318" width="12.140625" style="6" customWidth="1"/>
    <col min="13319" max="13319" width="12.42578125" style="6" customWidth="1"/>
    <col min="13320" max="13320" width="6.28515625" style="6" customWidth="1"/>
    <col min="13321" max="13321" width="11.140625" style="6" customWidth="1"/>
    <col min="13322" max="13322" width="10.85546875" style="6" customWidth="1"/>
    <col min="13323" max="13323" width="12.140625" style="6" bestFit="1" customWidth="1"/>
    <col min="13324" max="13324" width="13.5703125" style="6" bestFit="1" customWidth="1"/>
    <col min="13325" max="13325" width="9.42578125" style="6" bestFit="1" customWidth="1"/>
    <col min="13326" max="13326" width="10.7109375" style="6" bestFit="1" customWidth="1"/>
    <col min="13327" max="13328" width="9.42578125" style="6" bestFit="1" customWidth="1"/>
    <col min="13329" max="13566" width="9.140625" style="6"/>
    <col min="13567" max="13567" width="5.85546875" style="6" customWidth="1"/>
    <col min="13568" max="13568" width="10.85546875" style="6" customWidth="1"/>
    <col min="13569" max="13569" width="12" style="6" customWidth="1"/>
    <col min="13570" max="13570" width="5.28515625" style="6" customWidth="1"/>
    <col min="13571" max="13571" width="17" style="6" customWidth="1"/>
    <col min="13572" max="13572" width="7.7109375" style="6" customWidth="1"/>
    <col min="13573" max="13573" width="11.5703125" style="6" customWidth="1"/>
    <col min="13574" max="13574" width="12.140625" style="6" customWidth="1"/>
    <col min="13575" max="13575" width="12.42578125" style="6" customWidth="1"/>
    <col min="13576" max="13576" width="6.28515625" style="6" customWidth="1"/>
    <col min="13577" max="13577" width="11.140625" style="6" customWidth="1"/>
    <col min="13578" max="13578" width="10.85546875" style="6" customWidth="1"/>
    <col min="13579" max="13579" width="12.140625" style="6" bestFit="1" customWidth="1"/>
    <col min="13580" max="13580" width="13.5703125" style="6" bestFit="1" customWidth="1"/>
    <col min="13581" max="13581" width="9.42578125" style="6" bestFit="1" customWidth="1"/>
    <col min="13582" max="13582" width="10.7109375" style="6" bestFit="1" customWidth="1"/>
    <col min="13583" max="13584" width="9.42578125" style="6" bestFit="1" customWidth="1"/>
    <col min="13585" max="13822" width="9.140625" style="6"/>
    <col min="13823" max="13823" width="5.85546875" style="6" customWidth="1"/>
    <col min="13824" max="13824" width="10.85546875" style="6" customWidth="1"/>
    <col min="13825" max="13825" width="12" style="6" customWidth="1"/>
    <col min="13826" max="13826" width="5.28515625" style="6" customWidth="1"/>
    <col min="13827" max="13827" width="17" style="6" customWidth="1"/>
    <col min="13828" max="13828" width="7.7109375" style="6" customWidth="1"/>
    <col min="13829" max="13829" width="11.5703125" style="6" customWidth="1"/>
    <col min="13830" max="13830" width="12.140625" style="6" customWidth="1"/>
    <col min="13831" max="13831" width="12.42578125" style="6" customWidth="1"/>
    <col min="13832" max="13832" width="6.28515625" style="6" customWidth="1"/>
    <col min="13833" max="13833" width="11.140625" style="6" customWidth="1"/>
    <col min="13834" max="13834" width="10.85546875" style="6" customWidth="1"/>
    <col min="13835" max="13835" width="12.140625" style="6" bestFit="1" customWidth="1"/>
    <col min="13836" max="13836" width="13.5703125" style="6" bestFit="1" customWidth="1"/>
    <col min="13837" max="13837" width="9.42578125" style="6" bestFit="1" customWidth="1"/>
    <col min="13838" max="13838" width="10.7109375" style="6" bestFit="1" customWidth="1"/>
    <col min="13839" max="13840" width="9.42578125" style="6" bestFit="1" customWidth="1"/>
    <col min="13841" max="14078" width="9.140625" style="6"/>
    <col min="14079" max="14079" width="5.85546875" style="6" customWidth="1"/>
    <col min="14080" max="14080" width="10.85546875" style="6" customWidth="1"/>
    <col min="14081" max="14081" width="12" style="6" customWidth="1"/>
    <col min="14082" max="14082" width="5.28515625" style="6" customWidth="1"/>
    <col min="14083" max="14083" width="17" style="6" customWidth="1"/>
    <col min="14084" max="14084" width="7.7109375" style="6" customWidth="1"/>
    <col min="14085" max="14085" width="11.5703125" style="6" customWidth="1"/>
    <col min="14086" max="14086" width="12.140625" style="6" customWidth="1"/>
    <col min="14087" max="14087" width="12.42578125" style="6" customWidth="1"/>
    <col min="14088" max="14088" width="6.28515625" style="6" customWidth="1"/>
    <col min="14089" max="14089" width="11.140625" style="6" customWidth="1"/>
    <col min="14090" max="14090" width="10.85546875" style="6" customWidth="1"/>
    <col min="14091" max="14091" width="12.140625" style="6" bestFit="1" customWidth="1"/>
    <col min="14092" max="14092" width="13.5703125" style="6" bestFit="1" customWidth="1"/>
    <col min="14093" max="14093" width="9.42578125" style="6" bestFit="1" customWidth="1"/>
    <col min="14094" max="14094" width="10.7109375" style="6" bestFit="1" customWidth="1"/>
    <col min="14095" max="14096" width="9.42578125" style="6" bestFit="1" customWidth="1"/>
    <col min="14097" max="14334" width="9.140625" style="6"/>
    <col min="14335" max="14335" width="5.85546875" style="6" customWidth="1"/>
    <col min="14336" max="14336" width="10.85546875" style="6" customWidth="1"/>
    <col min="14337" max="14337" width="12" style="6" customWidth="1"/>
    <col min="14338" max="14338" width="5.28515625" style="6" customWidth="1"/>
    <col min="14339" max="14339" width="17" style="6" customWidth="1"/>
    <col min="14340" max="14340" width="7.7109375" style="6" customWidth="1"/>
    <col min="14341" max="14341" width="11.5703125" style="6" customWidth="1"/>
    <col min="14342" max="14342" width="12.140625" style="6" customWidth="1"/>
    <col min="14343" max="14343" width="12.42578125" style="6" customWidth="1"/>
    <col min="14344" max="14344" width="6.28515625" style="6" customWidth="1"/>
    <col min="14345" max="14345" width="11.140625" style="6" customWidth="1"/>
    <col min="14346" max="14346" width="10.85546875" style="6" customWidth="1"/>
    <col min="14347" max="14347" width="12.140625" style="6" bestFit="1" customWidth="1"/>
    <col min="14348" max="14348" width="13.5703125" style="6" bestFit="1" customWidth="1"/>
    <col min="14349" max="14349" width="9.42578125" style="6" bestFit="1" customWidth="1"/>
    <col min="14350" max="14350" width="10.7109375" style="6" bestFit="1" customWidth="1"/>
    <col min="14351" max="14352" width="9.42578125" style="6" bestFit="1" customWidth="1"/>
    <col min="14353" max="14590" width="9.140625" style="6"/>
    <col min="14591" max="14591" width="5.85546875" style="6" customWidth="1"/>
    <col min="14592" max="14592" width="10.85546875" style="6" customWidth="1"/>
    <col min="14593" max="14593" width="12" style="6" customWidth="1"/>
    <col min="14594" max="14594" width="5.28515625" style="6" customWidth="1"/>
    <col min="14595" max="14595" width="17" style="6" customWidth="1"/>
    <col min="14596" max="14596" width="7.7109375" style="6" customWidth="1"/>
    <col min="14597" max="14597" width="11.5703125" style="6" customWidth="1"/>
    <col min="14598" max="14598" width="12.140625" style="6" customWidth="1"/>
    <col min="14599" max="14599" width="12.42578125" style="6" customWidth="1"/>
    <col min="14600" max="14600" width="6.28515625" style="6" customWidth="1"/>
    <col min="14601" max="14601" width="11.140625" style="6" customWidth="1"/>
    <col min="14602" max="14602" width="10.85546875" style="6" customWidth="1"/>
    <col min="14603" max="14603" width="12.140625" style="6" bestFit="1" customWidth="1"/>
    <col min="14604" max="14604" width="13.5703125" style="6" bestFit="1" customWidth="1"/>
    <col min="14605" max="14605" width="9.42578125" style="6" bestFit="1" customWidth="1"/>
    <col min="14606" max="14606" width="10.7109375" style="6" bestFit="1" customWidth="1"/>
    <col min="14607" max="14608" width="9.42578125" style="6" bestFit="1" customWidth="1"/>
    <col min="14609" max="14846" width="9.140625" style="6"/>
    <col min="14847" max="14847" width="5.85546875" style="6" customWidth="1"/>
    <col min="14848" max="14848" width="10.85546875" style="6" customWidth="1"/>
    <col min="14849" max="14849" width="12" style="6" customWidth="1"/>
    <col min="14850" max="14850" width="5.28515625" style="6" customWidth="1"/>
    <col min="14851" max="14851" width="17" style="6" customWidth="1"/>
    <col min="14852" max="14852" width="7.7109375" style="6" customWidth="1"/>
    <col min="14853" max="14853" width="11.5703125" style="6" customWidth="1"/>
    <col min="14854" max="14854" width="12.140625" style="6" customWidth="1"/>
    <col min="14855" max="14855" width="12.42578125" style="6" customWidth="1"/>
    <col min="14856" max="14856" width="6.28515625" style="6" customWidth="1"/>
    <col min="14857" max="14857" width="11.140625" style="6" customWidth="1"/>
    <col min="14858" max="14858" width="10.85546875" style="6" customWidth="1"/>
    <col min="14859" max="14859" width="12.140625" style="6" bestFit="1" customWidth="1"/>
    <col min="14860" max="14860" width="13.5703125" style="6" bestFit="1" customWidth="1"/>
    <col min="14861" max="14861" width="9.42578125" style="6" bestFit="1" customWidth="1"/>
    <col min="14862" max="14862" width="10.7109375" style="6" bestFit="1" customWidth="1"/>
    <col min="14863" max="14864" width="9.42578125" style="6" bestFit="1" customWidth="1"/>
    <col min="14865" max="15102" width="9.140625" style="6"/>
    <col min="15103" max="15103" width="5.85546875" style="6" customWidth="1"/>
    <col min="15104" max="15104" width="10.85546875" style="6" customWidth="1"/>
    <col min="15105" max="15105" width="12" style="6" customWidth="1"/>
    <col min="15106" max="15106" width="5.28515625" style="6" customWidth="1"/>
    <col min="15107" max="15107" width="17" style="6" customWidth="1"/>
    <col min="15108" max="15108" width="7.7109375" style="6" customWidth="1"/>
    <col min="15109" max="15109" width="11.5703125" style="6" customWidth="1"/>
    <col min="15110" max="15110" width="12.140625" style="6" customWidth="1"/>
    <col min="15111" max="15111" width="12.42578125" style="6" customWidth="1"/>
    <col min="15112" max="15112" width="6.28515625" style="6" customWidth="1"/>
    <col min="15113" max="15113" width="11.140625" style="6" customWidth="1"/>
    <col min="15114" max="15114" width="10.85546875" style="6" customWidth="1"/>
    <col min="15115" max="15115" width="12.140625" style="6" bestFit="1" customWidth="1"/>
    <col min="15116" max="15116" width="13.5703125" style="6" bestFit="1" customWidth="1"/>
    <col min="15117" max="15117" width="9.42578125" style="6" bestFit="1" customWidth="1"/>
    <col min="15118" max="15118" width="10.7109375" style="6" bestFit="1" customWidth="1"/>
    <col min="15119" max="15120" width="9.42578125" style="6" bestFit="1" customWidth="1"/>
    <col min="15121" max="15358" width="9.140625" style="6"/>
    <col min="15359" max="15359" width="5.85546875" style="6" customWidth="1"/>
    <col min="15360" max="15360" width="10.85546875" style="6" customWidth="1"/>
    <col min="15361" max="15361" width="12" style="6" customWidth="1"/>
    <col min="15362" max="15362" width="5.28515625" style="6" customWidth="1"/>
    <col min="15363" max="15363" width="17" style="6" customWidth="1"/>
    <col min="15364" max="15364" width="7.7109375" style="6" customWidth="1"/>
    <col min="15365" max="15365" width="11.5703125" style="6" customWidth="1"/>
    <col min="15366" max="15366" width="12.140625" style="6" customWidth="1"/>
    <col min="15367" max="15367" width="12.42578125" style="6" customWidth="1"/>
    <col min="15368" max="15368" width="6.28515625" style="6" customWidth="1"/>
    <col min="15369" max="15369" width="11.140625" style="6" customWidth="1"/>
    <col min="15370" max="15370" width="10.85546875" style="6" customWidth="1"/>
    <col min="15371" max="15371" width="12.140625" style="6" bestFit="1" customWidth="1"/>
    <col min="15372" max="15372" width="13.5703125" style="6" bestFit="1" customWidth="1"/>
    <col min="15373" max="15373" width="9.42578125" style="6" bestFit="1" customWidth="1"/>
    <col min="15374" max="15374" width="10.7109375" style="6" bestFit="1" customWidth="1"/>
    <col min="15375" max="15376" width="9.42578125" style="6" bestFit="1" customWidth="1"/>
    <col min="15377" max="15614" width="9.140625" style="6"/>
    <col min="15615" max="15615" width="5.85546875" style="6" customWidth="1"/>
    <col min="15616" max="15616" width="10.85546875" style="6" customWidth="1"/>
    <col min="15617" max="15617" width="12" style="6" customWidth="1"/>
    <col min="15618" max="15618" width="5.28515625" style="6" customWidth="1"/>
    <col min="15619" max="15619" width="17" style="6" customWidth="1"/>
    <col min="15620" max="15620" width="7.7109375" style="6" customWidth="1"/>
    <col min="15621" max="15621" width="11.5703125" style="6" customWidth="1"/>
    <col min="15622" max="15622" width="12.140625" style="6" customWidth="1"/>
    <col min="15623" max="15623" width="12.42578125" style="6" customWidth="1"/>
    <col min="15624" max="15624" width="6.28515625" style="6" customWidth="1"/>
    <col min="15625" max="15625" width="11.140625" style="6" customWidth="1"/>
    <col min="15626" max="15626" width="10.85546875" style="6" customWidth="1"/>
    <col min="15627" max="15627" width="12.140625" style="6" bestFit="1" customWidth="1"/>
    <col min="15628" max="15628" width="13.5703125" style="6" bestFit="1" customWidth="1"/>
    <col min="15629" max="15629" width="9.42578125" style="6" bestFit="1" customWidth="1"/>
    <col min="15630" max="15630" width="10.7109375" style="6" bestFit="1" customWidth="1"/>
    <col min="15631" max="15632" width="9.42578125" style="6" bestFit="1" customWidth="1"/>
    <col min="15633" max="15870" width="9.140625" style="6"/>
    <col min="15871" max="15871" width="5.85546875" style="6" customWidth="1"/>
    <col min="15872" max="15872" width="10.85546875" style="6" customWidth="1"/>
    <col min="15873" max="15873" width="12" style="6" customWidth="1"/>
    <col min="15874" max="15874" width="5.28515625" style="6" customWidth="1"/>
    <col min="15875" max="15875" width="17" style="6" customWidth="1"/>
    <col min="15876" max="15876" width="7.7109375" style="6" customWidth="1"/>
    <col min="15877" max="15877" width="11.5703125" style="6" customWidth="1"/>
    <col min="15878" max="15878" width="12.140625" style="6" customWidth="1"/>
    <col min="15879" max="15879" width="12.42578125" style="6" customWidth="1"/>
    <col min="15880" max="15880" width="6.28515625" style="6" customWidth="1"/>
    <col min="15881" max="15881" width="11.140625" style="6" customWidth="1"/>
    <col min="15882" max="15882" width="10.85546875" style="6" customWidth="1"/>
    <col min="15883" max="15883" width="12.140625" style="6" bestFit="1" customWidth="1"/>
    <col min="15884" max="15884" width="13.5703125" style="6" bestFit="1" customWidth="1"/>
    <col min="15885" max="15885" width="9.42578125" style="6" bestFit="1" customWidth="1"/>
    <col min="15886" max="15886" width="10.7109375" style="6" bestFit="1" customWidth="1"/>
    <col min="15887" max="15888" width="9.42578125" style="6" bestFit="1" customWidth="1"/>
    <col min="15889" max="16126" width="9.140625" style="6"/>
    <col min="16127" max="16127" width="5.85546875" style="6" customWidth="1"/>
    <col min="16128" max="16128" width="10.85546875" style="6" customWidth="1"/>
    <col min="16129" max="16129" width="12" style="6" customWidth="1"/>
    <col min="16130" max="16130" width="5.28515625" style="6" customWidth="1"/>
    <col min="16131" max="16131" width="17" style="6" customWidth="1"/>
    <col min="16132" max="16132" width="7.7109375" style="6" customWidth="1"/>
    <col min="16133" max="16133" width="11.5703125" style="6" customWidth="1"/>
    <col min="16134" max="16134" width="12.140625" style="6" customWidth="1"/>
    <col min="16135" max="16135" width="12.42578125" style="6" customWidth="1"/>
    <col min="16136" max="16136" width="6.28515625" style="6" customWidth="1"/>
    <col min="16137" max="16137" width="11.140625" style="6" customWidth="1"/>
    <col min="16138" max="16138" width="10.85546875" style="6" customWidth="1"/>
    <col min="16139" max="16139" width="12.140625" style="6" bestFit="1" customWidth="1"/>
    <col min="16140" max="16140" width="13.5703125" style="6" bestFit="1" customWidth="1"/>
    <col min="16141" max="16141" width="9.42578125" style="6" bestFit="1" customWidth="1"/>
    <col min="16142" max="16142" width="10.7109375" style="6" bestFit="1" customWidth="1"/>
    <col min="16143" max="16144" width="9.42578125" style="6" bestFit="1" customWidth="1"/>
    <col min="16145" max="16384" width="9.140625" style="6"/>
  </cols>
  <sheetData>
    <row r="1" spans="1:15" ht="15" customHeight="1" x14ac:dyDescent="0.2">
      <c r="A1" s="1"/>
      <c r="B1" s="2"/>
      <c r="C1" s="2"/>
      <c r="D1" s="82"/>
      <c r="E1" s="2"/>
      <c r="F1" s="170"/>
      <c r="G1" s="129"/>
      <c r="H1" s="104"/>
      <c r="I1" s="3"/>
      <c r="J1" s="4"/>
      <c r="K1" s="5"/>
      <c r="L1" s="5"/>
      <c r="M1" s="5"/>
      <c r="N1" s="5"/>
      <c r="O1" s="5"/>
    </row>
    <row r="2" spans="1:15" ht="15" customHeight="1" x14ac:dyDescent="0.2">
      <c r="A2" s="7"/>
      <c r="B2" s="7"/>
      <c r="C2" s="7"/>
      <c r="D2" s="8"/>
      <c r="E2" s="7"/>
      <c r="F2" s="171"/>
      <c r="G2" s="120"/>
      <c r="H2" s="7"/>
      <c r="I2" s="3"/>
      <c r="J2" s="4"/>
      <c r="K2" s="5"/>
      <c r="L2" s="5"/>
      <c r="M2" s="5"/>
      <c r="N2" s="5"/>
      <c r="O2" s="5"/>
    </row>
    <row r="3" spans="1:15" ht="15" customHeight="1" x14ac:dyDescent="0.2">
      <c r="A3" s="7"/>
      <c r="B3" s="7"/>
      <c r="C3" s="7"/>
      <c r="D3" s="8"/>
      <c r="E3" s="7"/>
      <c r="F3" s="171"/>
      <c r="G3" s="120"/>
      <c r="H3" s="7"/>
      <c r="I3" s="3"/>
      <c r="J3" s="4"/>
      <c r="K3" s="5"/>
      <c r="L3" s="5"/>
      <c r="M3" s="5"/>
      <c r="N3" s="5"/>
      <c r="O3" s="5"/>
    </row>
    <row r="4" spans="1:15" ht="15" customHeight="1" x14ac:dyDescent="0.2">
      <c r="A4" s="7"/>
      <c r="B4" s="7"/>
      <c r="C4" s="7"/>
      <c r="D4" s="8"/>
      <c r="E4" s="7"/>
      <c r="F4" s="171"/>
      <c r="G4" s="120"/>
      <c r="H4" s="7"/>
      <c r="I4" s="3"/>
      <c r="J4" s="4"/>
      <c r="K4" s="5"/>
      <c r="L4" s="5"/>
      <c r="M4" s="5"/>
      <c r="N4" s="5"/>
      <c r="O4" s="5"/>
    </row>
    <row r="5" spans="1:15" s="96" customFormat="1" ht="12" x14ac:dyDescent="0.2">
      <c r="A5" s="251" t="s">
        <v>169</v>
      </c>
      <c r="B5" s="252"/>
      <c r="C5" s="252"/>
      <c r="D5" s="252"/>
      <c r="E5" s="252"/>
      <c r="F5" s="252"/>
      <c r="G5" s="252"/>
      <c r="H5" s="252"/>
    </row>
    <row r="6" spans="1:15" s="96" customFormat="1" ht="12" x14ac:dyDescent="0.2">
      <c r="A6" s="253" t="s">
        <v>196</v>
      </c>
      <c r="B6" s="252"/>
      <c r="C6" s="252"/>
      <c r="D6" s="252"/>
      <c r="E6" s="252"/>
      <c r="F6" s="252"/>
      <c r="G6" s="252"/>
      <c r="H6" s="252"/>
    </row>
    <row r="7" spans="1:15" s="96" customFormat="1" ht="21" customHeight="1" x14ac:dyDescent="0.2">
      <c r="A7" s="254" t="s">
        <v>170</v>
      </c>
      <c r="B7" s="255"/>
      <c r="C7" s="255"/>
      <c r="D7" s="255"/>
      <c r="E7" s="255"/>
      <c r="F7" s="255"/>
      <c r="G7" s="256"/>
      <c r="H7" s="256"/>
    </row>
    <row r="8" spans="1:15" s="96" customFormat="1" ht="25.5" customHeight="1" x14ac:dyDescent="0.2">
      <c r="E8" s="97" t="s">
        <v>152</v>
      </c>
      <c r="F8" s="97">
        <v>2021</v>
      </c>
      <c r="G8" s="97">
        <f>F8+1</f>
        <v>2022</v>
      </c>
    </row>
    <row r="9" spans="1:15" s="96" customFormat="1" ht="12.75" x14ac:dyDescent="0.2">
      <c r="E9" s="101" t="s">
        <v>153</v>
      </c>
      <c r="F9" s="98">
        <v>4.8000000000000001E-2</v>
      </c>
      <c r="G9" s="98">
        <v>3.5900000000000001E-2</v>
      </c>
    </row>
    <row r="10" spans="1:15" s="96" customFormat="1" ht="12.75" x14ac:dyDescent="0.2">
      <c r="E10" s="101" t="s">
        <v>154</v>
      </c>
      <c r="F10" s="98">
        <v>3.1600000000000003E-2</v>
      </c>
      <c r="G10" s="98">
        <v>2.3400000000000001E-2</v>
      </c>
    </row>
    <row r="11" spans="1:15" s="96" customFormat="1" ht="12.75" x14ac:dyDescent="0.2">
      <c r="E11" s="102" t="s">
        <v>155</v>
      </c>
      <c r="F11" s="98">
        <v>0</v>
      </c>
      <c r="G11" s="98">
        <v>0</v>
      </c>
    </row>
    <row r="12" spans="1:15" s="96" customFormat="1" ht="12.75" x14ac:dyDescent="0.2">
      <c r="E12" s="103" t="s">
        <v>156</v>
      </c>
      <c r="F12" s="98">
        <v>0</v>
      </c>
      <c r="G12" s="98">
        <v>0</v>
      </c>
    </row>
    <row r="13" spans="1:15" s="96" customFormat="1" ht="12.75" x14ac:dyDescent="0.2">
      <c r="E13" s="103" t="s">
        <v>157</v>
      </c>
      <c r="F13" s="98">
        <v>0</v>
      </c>
      <c r="G13" s="98">
        <v>0</v>
      </c>
    </row>
    <row r="14" spans="1:15" s="96" customFormat="1" ht="12.75" x14ac:dyDescent="0.2">
      <c r="E14" s="103" t="s">
        <v>158</v>
      </c>
      <c r="F14" s="98">
        <v>0</v>
      </c>
      <c r="G14" s="98">
        <v>0</v>
      </c>
    </row>
    <row r="15" spans="1:15" s="96" customFormat="1" ht="12.75" x14ac:dyDescent="0.2">
      <c r="E15" s="103" t="s">
        <v>159</v>
      </c>
      <c r="F15" s="98">
        <v>0</v>
      </c>
      <c r="G15" s="98">
        <v>0</v>
      </c>
    </row>
    <row r="16" spans="1:15" s="96" customFormat="1" ht="12.75" x14ac:dyDescent="0.2">
      <c r="E16" s="101" t="s">
        <v>160</v>
      </c>
      <c r="F16" s="98">
        <v>0</v>
      </c>
      <c r="G16" s="98">
        <v>0</v>
      </c>
    </row>
    <row r="17" spans="1:30" s="96" customFormat="1" ht="12.75" x14ac:dyDescent="0.2">
      <c r="E17" s="101" t="s">
        <v>161</v>
      </c>
      <c r="F17" s="98">
        <v>0</v>
      </c>
      <c r="G17" s="98">
        <v>0</v>
      </c>
    </row>
    <row r="18" spans="1:30" s="96" customFormat="1" ht="14.25" x14ac:dyDescent="0.2">
      <c r="A18" s="167"/>
      <c r="C18" s="99"/>
      <c r="D18" s="100"/>
      <c r="E18" s="100"/>
    </row>
    <row r="19" spans="1:30" s="96" customFormat="1" ht="12" x14ac:dyDescent="0.2">
      <c r="A19" s="167"/>
      <c r="F19" s="172"/>
      <c r="G19" s="121"/>
    </row>
    <row r="20" spans="1:30" ht="15" customHeight="1" x14ac:dyDescent="0.2">
      <c r="A20" s="257" t="s">
        <v>197</v>
      </c>
      <c r="B20" s="257"/>
      <c r="C20" s="257"/>
      <c r="D20" s="257"/>
      <c r="E20" s="257"/>
      <c r="F20" s="257"/>
      <c r="G20" s="257"/>
      <c r="H20" s="257"/>
      <c r="I20" s="3">
        <v>8</v>
      </c>
      <c r="J20" s="4"/>
      <c r="K20" s="5"/>
      <c r="L20" s="5"/>
      <c r="M20" s="5"/>
      <c r="N20" s="5"/>
      <c r="O20" s="5"/>
    </row>
    <row r="21" spans="1:30" ht="15" customHeight="1" x14ac:dyDescent="0.2">
      <c r="A21" s="1" t="s">
        <v>0</v>
      </c>
      <c r="B21" s="5"/>
      <c r="C21" s="1"/>
      <c r="D21" s="9"/>
      <c r="E21" s="1"/>
      <c r="F21" s="173"/>
      <c r="G21" s="122"/>
      <c r="H21" s="10"/>
      <c r="J21" s="4"/>
      <c r="K21" s="5"/>
      <c r="L21" s="5"/>
      <c r="M21" s="5"/>
      <c r="N21" s="5"/>
      <c r="O21" s="5"/>
    </row>
    <row r="22" spans="1:30" ht="15" customHeight="1" x14ac:dyDescent="0.2">
      <c r="A22" s="1" t="s">
        <v>1</v>
      </c>
      <c r="B22" s="5"/>
      <c r="C22" s="1"/>
      <c r="D22" s="9"/>
      <c r="E22" s="1"/>
      <c r="F22" s="173"/>
      <c r="G22" s="122"/>
      <c r="H22" s="10"/>
      <c r="J22" s="4"/>
      <c r="K22" s="5"/>
      <c r="L22" s="5"/>
      <c r="M22" s="5"/>
      <c r="N22" s="5"/>
      <c r="O22" s="5"/>
    </row>
    <row r="23" spans="1:30" ht="15" customHeight="1" x14ac:dyDescent="0.2">
      <c r="A23" s="11" t="s">
        <v>163</v>
      </c>
      <c r="B23" s="5"/>
      <c r="C23" s="1"/>
      <c r="D23" s="9"/>
      <c r="E23" s="1"/>
      <c r="F23" s="173"/>
      <c r="G23" s="122"/>
      <c r="H23" s="10"/>
      <c r="J23" s="4"/>
      <c r="K23" s="5"/>
      <c r="L23" s="5"/>
      <c r="M23" s="5"/>
      <c r="N23" s="5"/>
      <c r="O23" s="5"/>
    </row>
    <row r="24" spans="1:30" ht="15" customHeight="1" x14ac:dyDescent="0.2">
      <c r="A24" s="12" t="s">
        <v>176</v>
      </c>
      <c r="B24" s="1"/>
      <c r="C24" s="1"/>
      <c r="D24" s="9"/>
      <c r="E24" s="1"/>
      <c r="F24" s="174"/>
      <c r="G24" s="122" t="s">
        <v>149</v>
      </c>
      <c r="H24" s="10"/>
      <c r="J24" s="14" t="s">
        <v>2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30" ht="15" customHeight="1" x14ac:dyDescent="0.25">
      <c r="A25" s="12" t="s">
        <v>142</v>
      </c>
      <c r="B25" s="1"/>
      <c r="C25" s="1" t="s">
        <v>151</v>
      </c>
      <c r="D25" s="9"/>
      <c r="E25" s="142">
        <v>0.19989999999999999</v>
      </c>
      <c r="F25" s="175"/>
      <c r="G25" s="258" t="s">
        <v>150</v>
      </c>
      <c r="H25" s="259"/>
      <c r="J25" s="14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30" ht="15" customHeight="1" x14ac:dyDescent="0.25">
      <c r="A26" s="88"/>
      <c r="B26" s="88"/>
      <c r="C26" s="88" t="s">
        <v>150</v>
      </c>
      <c r="D26" s="88"/>
      <c r="F26" s="176"/>
      <c r="G26" s="141">
        <v>0.33</v>
      </c>
      <c r="H26" s="95">
        <v>0.4</v>
      </c>
      <c r="I26" s="88"/>
      <c r="J26" s="3"/>
      <c r="K26" s="4"/>
      <c r="L26" s="8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16"/>
      <c r="Y26" s="16"/>
      <c r="Z26" s="17"/>
    </row>
    <row r="27" spans="1:30" ht="15" customHeight="1" x14ac:dyDescent="0.2">
      <c r="A27" s="89" t="s">
        <v>3</v>
      </c>
      <c r="B27" s="90"/>
      <c r="C27" s="91" t="s">
        <v>4</v>
      </c>
      <c r="D27" s="92"/>
      <c r="E27" s="90">
        <v>12</v>
      </c>
      <c r="F27" s="177" t="s">
        <v>5</v>
      </c>
      <c r="G27" s="130">
        <f>13.33+0.27</f>
        <v>13.6</v>
      </c>
      <c r="H27" s="93"/>
      <c r="I27" s="94">
        <v>12</v>
      </c>
      <c r="J27" s="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17"/>
    </row>
    <row r="28" spans="1:30" ht="15" customHeight="1" x14ac:dyDescent="0.2">
      <c r="A28" s="155" t="s">
        <v>7</v>
      </c>
      <c r="B28" s="156" t="s">
        <v>8</v>
      </c>
      <c r="C28" s="157" t="s">
        <v>9</v>
      </c>
      <c r="D28" s="158"/>
      <c r="E28" s="157" t="s">
        <v>10</v>
      </c>
      <c r="F28" s="178" t="s">
        <v>147</v>
      </c>
      <c r="G28" s="159" t="s">
        <v>11</v>
      </c>
      <c r="H28" s="160" t="s">
        <v>148</v>
      </c>
      <c r="I28" s="81" t="s">
        <v>12</v>
      </c>
      <c r="J28" s="21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23"/>
      <c r="X28" s="23"/>
      <c r="Y28" s="5"/>
      <c r="Z28" s="17"/>
      <c r="AB28" s="17"/>
      <c r="AD28" s="78"/>
    </row>
    <row r="29" spans="1:30" ht="15" customHeight="1" x14ac:dyDescent="0.2">
      <c r="A29" s="18" t="s">
        <v>13</v>
      </c>
      <c r="B29" s="24">
        <v>2005</v>
      </c>
      <c r="C29" s="25" t="s">
        <v>16</v>
      </c>
      <c r="D29" s="26">
        <v>24</v>
      </c>
      <c r="E29" s="18" t="s">
        <v>17</v>
      </c>
      <c r="F29" s="179">
        <f>113365.74-1693.37-465.45</f>
        <v>111206.92000000001</v>
      </c>
      <c r="G29" s="131">
        <f>(F29)*$G$27</f>
        <v>1512414.1120000002</v>
      </c>
      <c r="H29" s="106">
        <f t="shared" ref="H29:H34" si="0">G29*(1+$G$9)*(1+$G$11)*(1+$G$16)</f>
        <v>1566709.7786208002</v>
      </c>
      <c r="I29" s="48" t="s">
        <v>15</v>
      </c>
      <c r="J29" s="3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5"/>
      <c r="X29" s="5"/>
      <c r="Y29" s="4"/>
      <c r="Z29" s="17"/>
      <c r="AC29" s="17"/>
    </row>
    <row r="30" spans="1:30" ht="15" customHeight="1" x14ac:dyDescent="0.2">
      <c r="A30" s="18" t="s">
        <v>13</v>
      </c>
      <c r="B30" s="24">
        <v>2005</v>
      </c>
      <c r="C30" s="18" t="s">
        <v>20</v>
      </c>
      <c r="D30" s="20">
        <v>22</v>
      </c>
      <c r="E30" s="18" t="s">
        <v>19</v>
      </c>
      <c r="F30" s="179">
        <v>1445.46</v>
      </c>
      <c r="G30" s="131">
        <f>(F30)*$G$27</f>
        <v>19658.256000000001</v>
      </c>
      <c r="H30" s="106">
        <f t="shared" si="0"/>
        <v>20363.987390400001</v>
      </c>
      <c r="I30" s="19" t="s">
        <v>15</v>
      </c>
      <c r="J30" s="3"/>
      <c r="K30" s="4"/>
      <c r="L30" s="5"/>
      <c r="M30" s="5"/>
      <c r="N30" s="5"/>
      <c r="O30" s="5"/>
      <c r="P30" s="5"/>
    </row>
    <row r="31" spans="1:30" ht="15" customHeight="1" x14ac:dyDescent="0.2">
      <c r="A31" s="18" t="s">
        <v>13</v>
      </c>
      <c r="B31" s="24">
        <v>2005</v>
      </c>
      <c r="C31" s="25" t="s">
        <v>21</v>
      </c>
      <c r="D31" s="26">
        <v>25</v>
      </c>
      <c r="E31" s="18" t="s">
        <v>22</v>
      </c>
      <c r="F31" s="179">
        <v>465.45</v>
      </c>
      <c r="G31" s="131">
        <f>(F31)*$G$27</f>
        <v>6330.12</v>
      </c>
      <c r="H31" s="106">
        <f t="shared" si="0"/>
        <v>6557.3713079999998</v>
      </c>
      <c r="I31" s="19" t="s">
        <v>15</v>
      </c>
      <c r="J31" s="3"/>
      <c r="K31" s="14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30" ht="15" customHeight="1" x14ac:dyDescent="0.2">
      <c r="A32" s="18" t="s">
        <v>13</v>
      </c>
      <c r="B32" s="24">
        <v>2005</v>
      </c>
      <c r="C32" s="25" t="s">
        <v>23</v>
      </c>
      <c r="D32" s="26">
        <v>26</v>
      </c>
      <c r="E32" s="18" t="s">
        <v>24</v>
      </c>
      <c r="F32" s="179"/>
      <c r="G32" s="131">
        <f>(F32)*$G$27</f>
        <v>0</v>
      </c>
      <c r="H32" s="106">
        <f t="shared" si="0"/>
        <v>0</v>
      </c>
      <c r="I32" s="19" t="s">
        <v>15</v>
      </c>
      <c r="J32" s="3"/>
      <c r="K32" s="4"/>
      <c r="L32" s="8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6"/>
      <c r="Y32" s="16"/>
      <c r="Z32" s="17"/>
    </row>
    <row r="33" spans="1:26" ht="15" customHeight="1" x14ac:dyDescent="0.2">
      <c r="A33" s="18" t="s">
        <v>13</v>
      </c>
      <c r="B33" s="24">
        <v>2005</v>
      </c>
      <c r="C33" s="25" t="s">
        <v>25</v>
      </c>
      <c r="D33" s="26">
        <v>27</v>
      </c>
      <c r="E33" s="18" t="s">
        <v>26</v>
      </c>
      <c r="F33" s="179"/>
      <c r="G33" s="131">
        <f>F33</f>
        <v>0</v>
      </c>
      <c r="H33" s="106">
        <f t="shared" si="0"/>
        <v>0</v>
      </c>
      <c r="I33" s="19" t="s">
        <v>15</v>
      </c>
      <c r="J33" s="3"/>
      <c r="K33" s="79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  <c r="X33" s="5"/>
      <c r="Y33" s="5"/>
      <c r="Z33" s="17"/>
    </row>
    <row r="34" spans="1:26" ht="15" customHeight="1" x14ac:dyDescent="0.2">
      <c r="A34" s="18" t="s">
        <v>13</v>
      </c>
      <c r="B34" s="24">
        <v>2005</v>
      </c>
      <c r="C34" s="18" t="s">
        <v>172</v>
      </c>
      <c r="D34" s="20">
        <v>28</v>
      </c>
      <c r="E34" s="18" t="s">
        <v>19</v>
      </c>
      <c r="F34" s="179">
        <f>97841.62/4-F35</f>
        <v>9227.4699999999993</v>
      </c>
      <c r="G34" s="131">
        <f>(F34)*$G$27</f>
        <v>125493.59199999999</v>
      </c>
      <c r="H34" s="106">
        <f t="shared" si="0"/>
        <v>129998.8119528</v>
      </c>
      <c r="I34" s="19" t="s">
        <v>15</v>
      </c>
      <c r="J34" s="3"/>
      <c r="K34" s="4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5"/>
      <c r="Z34" s="17"/>
    </row>
    <row r="35" spans="1:26" ht="15" customHeight="1" x14ac:dyDescent="0.2">
      <c r="A35" s="18" t="s">
        <v>13</v>
      </c>
      <c r="B35" s="24">
        <v>2005</v>
      </c>
      <c r="C35" s="18" t="s">
        <v>173</v>
      </c>
      <c r="D35" s="20">
        <v>28</v>
      </c>
      <c r="E35" s="18" t="s">
        <v>174</v>
      </c>
      <c r="F35" s="179">
        <f>60931.74/4</f>
        <v>15232.934999999999</v>
      </c>
      <c r="G35" s="131">
        <f>(F35)*$G$27</f>
        <v>207167.916</v>
      </c>
      <c r="H35" s="106">
        <f>(G35/G$26*H$26)*(1+$G$9)*(1+$G$11)*(1+$G$16)</f>
        <v>260127.56870836366</v>
      </c>
      <c r="I35" s="19" t="s">
        <v>15</v>
      </c>
      <c r="J35" s="3"/>
      <c r="K35" s="4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5"/>
      <c r="Z35" s="17"/>
    </row>
    <row r="36" spans="1:26" ht="15" customHeight="1" x14ac:dyDescent="0.2">
      <c r="A36" s="18" t="s">
        <v>13</v>
      </c>
      <c r="B36" s="24">
        <v>2005</v>
      </c>
      <c r="C36" s="25" t="s">
        <v>143</v>
      </c>
      <c r="D36" s="26">
        <v>8904</v>
      </c>
      <c r="E36" s="18" t="s">
        <v>14</v>
      </c>
      <c r="F36" s="179"/>
      <c r="G36" s="131"/>
      <c r="H36" s="106">
        <f>G36*(1+$G$9)*(1+$G$11)*(1+$G$16)</f>
        <v>0</v>
      </c>
      <c r="I36" s="19" t="s">
        <v>15</v>
      </c>
      <c r="J36" s="3"/>
      <c r="K36" s="4"/>
      <c r="L36" s="84"/>
      <c r="M36" s="5"/>
      <c r="N36" s="29"/>
      <c r="R36" s="5"/>
      <c r="S36" s="5"/>
      <c r="T36" s="5"/>
      <c r="U36" s="5"/>
      <c r="V36" s="5"/>
      <c r="W36" s="5"/>
      <c r="X36" s="5"/>
      <c r="Y36" s="5"/>
      <c r="Z36" s="30"/>
    </row>
    <row r="37" spans="1:26" ht="15" customHeight="1" x14ac:dyDescent="0.2">
      <c r="A37" s="18" t="s">
        <v>13</v>
      </c>
      <c r="B37" s="24">
        <v>2005</v>
      </c>
      <c r="C37" s="25" t="s">
        <v>144</v>
      </c>
      <c r="D37" s="26">
        <v>9112</v>
      </c>
      <c r="E37" s="18" t="s">
        <v>14</v>
      </c>
      <c r="F37" s="179">
        <v>1190.8599999999999</v>
      </c>
      <c r="G37" s="131">
        <f>(F37)*$I$27</f>
        <v>14290.32</v>
      </c>
      <c r="H37" s="106">
        <f>G37*(1+$G$9)*(1+$G$11)*(1+$G$16)</f>
        <v>14803.342488</v>
      </c>
      <c r="I37" s="19" t="s">
        <v>15</v>
      </c>
      <c r="J37" s="3"/>
      <c r="K37" s="4"/>
      <c r="L37" s="84"/>
      <c r="M37" s="5"/>
      <c r="N37" s="29"/>
      <c r="R37" s="5"/>
      <c r="S37" s="5"/>
      <c r="T37" s="5"/>
      <c r="U37" s="5"/>
      <c r="V37" s="5"/>
      <c r="W37" s="5"/>
      <c r="X37" s="5"/>
      <c r="Y37" s="5"/>
      <c r="Z37" s="30"/>
    </row>
    <row r="38" spans="1:26" ht="15" customHeight="1" x14ac:dyDescent="0.2">
      <c r="A38" s="18"/>
      <c r="B38" s="24"/>
      <c r="C38" s="25"/>
      <c r="D38" s="26"/>
      <c r="E38" s="18"/>
      <c r="F38" s="179"/>
      <c r="G38" s="131"/>
      <c r="H38" s="106">
        <f>SUM(H29:H37)</f>
        <v>1998560.8604683639</v>
      </c>
      <c r="I38" s="19"/>
      <c r="J38" s="3"/>
      <c r="K38" s="4"/>
      <c r="L38" s="84"/>
      <c r="M38" s="5"/>
      <c r="N38" s="29"/>
      <c r="R38" s="5"/>
      <c r="S38" s="5"/>
      <c r="T38" s="5"/>
      <c r="U38" s="5"/>
      <c r="V38" s="5"/>
      <c r="W38" s="5"/>
      <c r="X38" s="5"/>
      <c r="Y38" s="5"/>
      <c r="Z38" s="30"/>
    </row>
    <row r="39" spans="1:26" ht="15" customHeight="1" x14ac:dyDescent="0.2">
      <c r="A39" s="18" t="s">
        <v>13</v>
      </c>
      <c r="B39" s="24">
        <v>2005</v>
      </c>
      <c r="C39" s="25" t="s">
        <v>28</v>
      </c>
      <c r="D39" s="26">
        <v>49</v>
      </c>
      <c r="E39" s="18" t="s">
        <v>29</v>
      </c>
      <c r="F39" s="179">
        <v>3293.18</v>
      </c>
      <c r="G39" s="131">
        <f>(F39*1.1)*$E$27</f>
        <v>43469.976000000002</v>
      </c>
      <c r="H39" s="106">
        <f>G39*(1+$G$9)*(1+$G$11)*(1+$G$16)</f>
        <v>45030.548138400001</v>
      </c>
      <c r="I39" s="19" t="s">
        <v>15</v>
      </c>
      <c r="J39" s="3">
        <v>331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5"/>
      <c r="X39" s="5"/>
      <c r="Y39" s="4"/>
      <c r="Z39" s="17"/>
    </row>
    <row r="40" spans="1:26" ht="15" customHeight="1" x14ac:dyDescent="0.2">
      <c r="A40" s="18" t="s">
        <v>13</v>
      </c>
      <c r="B40" s="24">
        <v>2005</v>
      </c>
      <c r="C40" s="18" t="s">
        <v>18</v>
      </c>
      <c r="D40" s="20">
        <v>48</v>
      </c>
      <c r="E40" s="18" t="s">
        <v>19</v>
      </c>
      <c r="F40" s="179">
        <v>10063.879999999999</v>
      </c>
      <c r="G40" s="131">
        <f>(F40)*$G$27</f>
        <v>136868.76799999998</v>
      </c>
      <c r="H40" s="106">
        <f>G40*(1+$G$9)*(1+$G$11)*(1+$G$16)</f>
        <v>141782.35677119999</v>
      </c>
      <c r="I40" s="19" t="s">
        <v>15</v>
      </c>
      <c r="J40" s="3">
        <v>271</v>
      </c>
      <c r="K40" s="4"/>
      <c r="L40" s="84"/>
      <c r="M40" s="5"/>
      <c r="N40" s="29"/>
      <c r="R40" s="5"/>
      <c r="S40" s="5"/>
      <c r="T40" s="5"/>
      <c r="U40" s="5"/>
      <c r="V40" s="5"/>
      <c r="W40" s="5"/>
      <c r="X40" s="5"/>
      <c r="Y40" s="5"/>
      <c r="Z40" s="30"/>
    </row>
    <row r="41" spans="1:26" ht="15" customHeight="1" x14ac:dyDescent="0.2">
      <c r="A41" s="18" t="s">
        <v>13</v>
      </c>
      <c r="B41" s="24">
        <v>2005</v>
      </c>
      <c r="C41" s="25" t="s">
        <v>30</v>
      </c>
      <c r="D41" s="26">
        <v>29</v>
      </c>
      <c r="E41" s="18" t="s">
        <v>31</v>
      </c>
      <c r="F41" s="179"/>
      <c r="G41" s="131"/>
      <c r="H41" s="106">
        <f>G41*(1+$G$9)*(1+$G$11)*(1+$G$16)</f>
        <v>0</v>
      </c>
      <c r="I41" s="19" t="s">
        <v>15</v>
      </c>
      <c r="J41" s="3"/>
      <c r="K41" s="4"/>
      <c r="L41" s="84"/>
      <c r="M41" s="5"/>
      <c r="N41" s="29"/>
      <c r="R41" s="5"/>
      <c r="S41" s="5"/>
      <c r="T41" s="5"/>
      <c r="U41" s="5"/>
      <c r="V41" s="5"/>
      <c r="W41" s="5"/>
      <c r="X41" s="5"/>
      <c r="Y41" s="5"/>
      <c r="Z41" s="30"/>
    </row>
    <row r="42" spans="1:26" s="110" customFormat="1" ht="15" customHeight="1" x14ac:dyDescent="0.2">
      <c r="A42" s="115"/>
      <c r="B42" s="116"/>
      <c r="C42" s="117"/>
      <c r="D42" s="114"/>
      <c r="E42" s="115"/>
      <c r="F42" s="180">
        <f>SUM(F29:F41)</f>
        <v>152126.155</v>
      </c>
      <c r="G42" s="123">
        <f>SUM(G29:G41)</f>
        <v>2065693.0600000003</v>
      </c>
      <c r="H42" s="123">
        <f>H38+H39+H40</f>
        <v>2185373.7653779639</v>
      </c>
      <c r="I42" s="32"/>
      <c r="J42" s="108" t="e">
        <f>H42-#REF!</f>
        <v>#REF!</v>
      </c>
      <c r="K42" s="109"/>
    </row>
    <row r="43" spans="1:26" ht="15" customHeight="1" x14ac:dyDescent="0.2">
      <c r="A43" s="18" t="s">
        <v>32</v>
      </c>
      <c r="B43" s="24">
        <v>2006</v>
      </c>
      <c r="C43" s="25" t="s">
        <v>33</v>
      </c>
      <c r="D43" s="26">
        <v>81</v>
      </c>
      <c r="E43" s="18" t="s">
        <v>17</v>
      </c>
      <c r="F43" s="179">
        <v>32520.74</v>
      </c>
      <c r="G43" s="131">
        <f>(F43)*$G$27</f>
        <v>442282.06400000001</v>
      </c>
      <c r="H43" s="106">
        <f>G43*(1+$G$9)*(1+$G$11)*(1+$G$16)</f>
        <v>458159.99009760004</v>
      </c>
      <c r="I43" s="19" t="s">
        <v>15</v>
      </c>
      <c r="J43" s="3"/>
      <c r="K43" s="17"/>
    </row>
    <row r="44" spans="1:26" ht="15" customHeight="1" x14ac:dyDescent="0.2">
      <c r="A44" s="18" t="s">
        <v>32</v>
      </c>
      <c r="B44" s="24">
        <v>2006</v>
      </c>
      <c r="C44" s="25" t="s">
        <v>21</v>
      </c>
      <c r="D44" s="26">
        <v>82</v>
      </c>
      <c r="E44" s="18" t="s">
        <v>22</v>
      </c>
      <c r="F44" s="179"/>
      <c r="G44" s="131">
        <f>(F44)*$G$27</f>
        <v>0</v>
      </c>
      <c r="H44" s="106">
        <f>G44*(1+$G$9)*(1+$G$11)*(1+$G$16)</f>
        <v>0</v>
      </c>
      <c r="I44" s="19" t="s">
        <v>15</v>
      </c>
      <c r="J44" s="3"/>
      <c r="K44" s="17"/>
    </row>
    <row r="45" spans="1:26" ht="15" customHeight="1" x14ac:dyDescent="0.2">
      <c r="A45" s="18" t="s">
        <v>32</v>
      </c>
      <c r="B45" s="24">
        <v>2006</v>
      </c>
      <c r="C45" s="25" t="s">
        <v>34</v>
      </c>
      <c r="D45" s="26">
        <v>83</v>
      </c>
      <c r="E45" s="18" t="s">
        <v>24</v>
      </c>
      <c r="F45" s="179"/>
      <c r="G45" s="131">
        <f>(F45)*$G$27</f>
        <v>0</v>
      </c>
      <c r="H45" s="106">
        <f>G45*(1+$G$9)*(1+$G$11)*(1+$G$16)</f>
        <v>0</v>
      </c>
      <c r="I45" s="19" t="s">
        <v>15</v>
      </c>
      <c r="J45" s="3"/>
      <c r="K45" s="17"/>
    </row>
    <row r="46" spans="1:26" ht="15" customHeight="1" x14ac:dyDescent="0.2">
      <c r="A46" s="18" t="s">
        <v>32</v>
      </c>
      <c r="B46" s="24">
        <v>2006</v>
      </c>
      <c r="C46" s="25" t="s">
        <v>35</v>
      </c>
      <c r="D46" s="26">
        <v>84</v>
      </c>
      <c r="E46" s="18" t="s">
        <v>26</v>
      </c>
      <c r="F46" s="179"/>
      <c r="G46" s="131">
        <f>F46</f>
        <v>0</v>
      </c>
      <c r="H46" s="106">
        <f>G46*(1+$G$9)*(1+$G$11)*(1+$G$16)</f>
        <v>0</v>
      </c>
      <c r="I46" s="19" t="s">
        <v>15</v>
      </c>
      <c r="J46" s="3"/>
      <c r="K46" s="17"/>
    </row>
    <row r="47" spans="1:26" ht="15" customHeight="1" x14ac:dyDescent="0.2">
      <c r="A47" s="18" t="s">
        <v>32</v>
      </c>
      <c r="B47" s="24">
        <v>2006</v>
      </c>
      <c r="C47" s="18" t="s">
        <v>172</v>
      </c>
      <c r="D47" s="20">
        <v>85</v>
      </c>
      <c r="E47" s="18" t="s">
        <v>19</v>
      </c>
      <c r="F47" s="179">
        <f>46773.14/4-F48</f>
        <v>4411.2024999999994</v>
      </c>
      <c r="G47" s="131">
        <f>(F47)*$G$27</f>
        <v>59992.353999999992</v>
      </c>
      <c r="H47" s="106">
        <f>G47*(1+$G$9)*(1+$G$11)*(1+$G$16)</f>
        <v>62146.079508599993</v>
      </c>
      <c r="I47" s="19" t="s">
        <v>15</v>
      </c>
      <c r="J47" s="3"/>
      <c r="K47" s="17"/>
    </row>
    <row r="48" spans="1:26" ht="15" customHeight="1" x14ac:dyDescent="0.2">
      <c r="A48" s="18" t="s">
        <v>32</v>
      </c>
      <c r="B48" s="24">
        <v>2006</v>
      </c>
      <c r="C48" s="18" t="s">
        <v>173</v>
      </c>
      <c r="D48" s="20">
        <v>85</v>
      </c>
      <c r="E48" s="18" t="s">
        <v>174</v>
      </c>
      <c r="F48" s="179">
        <f>29128.33/4</f>
        <v>7282.0825000000004</v>
      </c>
      <c r="G48" s="131">
        <f>(F48)*$G$27</f>
        <v>99036.322</v>
      </c>
      <c r="H48" s="106">
        <f>(G48/G$26*H$26)*(1+$G$9)*(1+$G$11)*(1+$G$16)</f>
        <v>124353.60722400001</v>
      </c>
      <c r="I48" s="19" t="s">
        <v>15</v>
      </c>
      <c r="J48" s="3"/>
      <c r="K48" s="17"/>
    </row>
    <row r="49" spans="1:26" ht="15" customHeight="1" x14ac:dyDescent="0.2">
      <c r="A49" s="18" t="s">
        <v>32</v>
      </c>
      <c r="B49" s="24">
        <v>2006</v>
      </c>
      <c r="C49" s="25" t="s">
        <v>143</v>
      </c>
      <c r="D49" s="26">
        <v>8905</v>
      </c>
      <c r="E49" s="18" t="s">
        <v>14</v>
      </c>
      <c r="F49" s="179"/>
      <c r="G49" s="131"/>
      <c r="H49" s="106">
        <f>G49*(1+$G$9)*(1+$G$11)*(1+$G$16)</f>
        <v>0</v>
      </c>
      <c r="I49" s="19" t="s">
        <v>15</v>
      </c>
      <c r="J49" s="3"/>
      <c r="K49" s="17"/>
    </row>
    <row r="50" spans="1:26" ht="15" customHeight="1" x14ac:dyDescent="0.2">
      <c r="A50" s="18" t="s">
        <v>32</v>
      </c>
      <c r="B50" s="24">
        <v>2006</v>
      </c>
      <c r="C50" s="25" t="s">
        <v>144</v>
      </c>
      <c r="D50" s="26">
        <v>9113</v>
      </c>
      <c r="E50" s="18" t="s">
        <v>14</v>
      </c>
      <c r="F50" s="179">
        <v>601.64</v>
      </c>
      <c r="G50" s="131">
        <f>(F50)*$I$27</f>
        <v>7219.68</v>
      </c>
      <c r="H50" s="106">
        <f>G50*(1+$G$9)*(1+$G$11)*(1+$G$16)</f>
        <v>7478.8665120000005</v>
      </c>
      <c r="I50" s="19" t="s">
        <v>15</v>
      </c>
      <c r="J50" s="3"/>
      <c r="K50" s="4"/>
      <c r="L50" s="84"/>
      <c r="M50" s="5"/>
      <c r="N50" s="29"/>
      <c r="R50" s="5"/>
      <c r="S50" s="5"/>
      <c r="T50" s="5"/>
      <c r="U50" s="5"/>
      <c r="V50" s="5"/>
      <c r="W50" s="5"/>
      <c r="X50" s="5"/>
      <c r="Y50" s="5"/>
      <c r="Z50" s="30"/>
    </row>
    <row r="51" spans="1:26" ht="15" customHeight="1" x14ac:dyDescent="0.2">
      <c r="A51" s="18"/>
      <c r="B51" s="24"/>
      <c r="C51" s="25"/>
      <c r="D51" s="26"/>
      <c r="E51" s="18"/>
      <c r="F51" s="179"/>
      <c r="G51" s="131"/>
      <c r="H51" s="106">
        <f>SUM(H43:H50)</f>
        <v>652138.54334219999</v>
      </c>
      <c r="I51" s="19"/>
      <c r="J51" s="3"/>
      <c r="K51" s="4"/>
      <c r="L51" s="84"/>
      <c r="M51" s="5"/>
      <c r="N51" s="29"/>
      <c r="R51" s="5"/>
      <c r="S51" s="5"/>
      <c r="T51" s="5"/>
      <c r="U51" s="5"/>
      <c r="V51" s="5"/>
      <c r="W51" s="5"/>
      <c r="X51" s="5"/>
      <c r="Y51" s="5"/>
      <c r="Z51" s="30"/>
    </row>
    <row r="52" spans="1:26" ht="15" customHeight="1" x14ac:dyDescent="0.2">
      <c r="A52" s="18" t="s">
        <v>32</v>
      </c>
      <c r="B52" s="24">
        <v>2006</v>
      </c>
      <c r="C52" s="25" t="s">
        <v>28</v>
      </c>
      <c r="D52" s="26">
        <v>99</v>
      </c>
      <c r="E52" s="18" t="s">
        <v>29</v>
      </c>
      <c r="F52" s="179">
        <v>1796.28</v>
      </c>
      <c r="G52" s="131">
        <f>(F52*1.1)*$E$27</f>
        <v>23710.896000000001</v>
      </c>
      <c r="H52" s="106">
        <f>G52*(1+$G$9)*(1+$G$11)*(1+$G$16)</f>
        <v>24562.117166400003</v>
      </c>
      <c r="I52" s="19" t="s">
        <v>15</v>
      </c>
      <c r="J52" s="3">
        <v>331</v>
      </c>
      <c r="K52" s="17"/>
    </row>
    <row r="53" spans="1:26" ht="15" customHeight="1" x14ac:dyDescent="0.2">
      <c r="A53" s="18" t="s">
        <v>32</v>
      </c>
      <c r="B53" s="24">
        <v>2006</v>
      </c>
      <c r="C53" s="18" t="s">
        <v>18</v>
      </c>
      <c r="D53" s="20">
        <v>98</v>
      </c>
      <c r="E53" s="18" t="s">
        <v>19</v>
      </c>
      <c r="F53" s="179">
        <v>2066.34</v>
      </c>
      <c r="G53" s="131">
        <f>(F53)*$G$27</f>
        <v>28102.224000000002</v>
      </c>
      <c r="H53" s="106">
        <f>G53*(1+$G$9)*(1+$G$11)*(1+$G$16)</f>
        <v>29111.093841600003</v>
      </c>
      <c r="I53" s="19" t="s">
        <v>15</v>
      </c>
      <c r="J53" s="3">
        <v>271</v>
      </c>
      <c r="K53" s="17"/>
    </row>
    <row r="54" spans="1:26" ht="15" customHeight="1" x14ac:dyDescent="0.2">
      <c r="A54" s="18" t="s">
        <v>32</v>
      </c>
      <c r="B54" s="24">
        <v>2006</v>
      </c>
      <c r="C54" s="25" t="s">
        <v>30</v>
      </c>
      <c r="D54" s="26">
        <v>86</v>
      </c>
      <c r="E54" s="18" t="s">
        <v>31</v>
      </c>
      <c r="F54" s="179"/>
      <c r="G54" s="131"/>
      <c r="H54" s="106">
        <f>G54*(1+$G$9)*(1+$G$11)*(1+$G$16)</f>
        <v>0</v>
      </c>
      <c r="I54" s="19" t="s">
        <v>15</v>
      </c>
      <c r="J54" s="3"/>
      <c r="K54" s="4"/>
      <c r="L54" s="84"/>
      <c r="M54" s="5"/>
      <c r="N54" s="29"/>
      <c r="R54" s="5"/>
      <c r="S54" s="5"/>
      <c r="T54" s="5"/>
      <c r="U54" s="5"/>
      <c r="V54" s="5"/>
      <c r="W54" s="5"/>
      <c r="X54" s="5"/>
      <c r="Y54" s="5"/>
      <c r="Z54" s="30"/>
    </row>
    <row r="55" spans="1:26" ht="15" customHeight="1" x14ac:dyDescent="0.2">
      <c r="A55" s="111"/>
      <c r="B55" s="112"/>
      <c r="C55" s="113"/>
      <c r="D55" s="114"/>
      <c r="E55" s="111"/>
      <c r="F55" s="180">
        <f>SUM(F43:F54)</f>
        <v>48678.285000000003</v>
      </c>
      <c r="G55" s="123">
        <f>SUM(G43:G54)</f>
        <v>660343.54</v>
      </c>
      <c r="H55" s="123">
        <f>H51+H52+H53</f>
        <v>705811.75435019995</v>
      </c>
      <c r="I55" s="19"/>
      <c r="J55" s="3" t="e">
        <f>H55-#REF!</f>
        <v>#REF!</v>
      </c>
      <c r="K55" s="17"/>
    </row>
    <row r="56" spans="1:26" ht="15" customHeight="1" x14ac:dyDescent="0.2">
      <c r="A56" s="18" t="s">
        <v>37</v>
      </c>
      <c r="B56" s="24">
        <v>2007</v>
      </c>
      <c r="C56" s="25" t="s">
        <v>16</v>
      </c>
      <c r="D56" s="26">
        <v>128</v>
      </c>
      <c r="E56" s="18" t="s">
        <v>17</v>
      </c>
      <c r="F56" s="179">
        <f>84579.92-801.28-3663.12</f>
        <v>80115.520000000004</v>
      </c>
      <c r="G56" s="131">
        <f>(F56)*$G$27</f>
        <v>1089571.0719999999</v>
      </c>
      <c r="H56" s="106">
        <f>G56*(1+$G$9)*(1+$G$11)*(1+$G$16)</f>
        <v>1128686.6734847999</v>
      </c>
      <c r="I56" s="19" t="s">
        <v>15</v>
      </c>
      <c r="J56" s="3"/>
      <c r="K56" s="17"/>
    </row>
    <row r="57" spans="1:26" ht="15" customHeight="1" x14ac:dyDescent="0.2">
      <c r="A57" s="18" t="s">
        <v>37</v>
      </c>
      <c r="B57" s="24">
        <v>2007</v>
      </c>
      <c r="C57" s="25" t="s">
        <v>21</v>
      </c>
      <c r="D57" s="26">
        <v>129</v>
      </c>
      <c r="E57" s="18" t="s">
        <v>22</v>
      </c>
      <c r="F57" s="179"/>
      <c r="G57" s="131">
        <f>(F57)*$G$27</f>
        <v>0</v>
      </c>
      <c r="H57" s="106">
        <f>G57*(1+$G$9)*(1+$G$11)*(1+$G$16)</f>
        <v>0</v>
      </c>
      <c r="I57" s="19" t="s">
        <v>15</v>
      </c>
      <c r="J57" s="3"/>
      <c r="K57" s="17"/>
    </row>
    <row r="58" spans="1:26" ht="15" customHeight="1" x14ac:dyDescent="0.2">
      <c r="A58" s="18" t="s">
        <v>37</v>
      </c>
      <c r="B58" s="24">
        <v>2007</v>
      </c>
      <c r="C58" s="25" t="s">
        <v>34</v>
      </c>
      <c r="D58" s="26">
        <v>130</v>
      </c>
      <c r="E58" s="18" t="s">
        <v>24</v>
      </c>
      <c r="F58" s="179"/>
      <c r="G58" s="131">
        <f>(F58)*$G$27</f>
        <v>0</v>
      </c>
      <c r="H58" s="106">
        <f>G58*(1+$G$9)*(1+$G$11)*(1+$G$16)</f>
        <v>0</v>
      </c>
      <c r="I58" s="19" t="s">
        <v>15</v>
      </c>
      <c r="J58" s="3"/>
      <c r="K58" s="17"/>
    </row>
    <row r="59" spans="1:26" ht="15" customHeight="1" x14ac:dyDescent="0.2">
      <c r="A59" s="18" t="s">
        <v>37</v>
      </c>
      <c r="B59" s="24">
        <v>2007</v>
      </c>
      <c r="C59" s="25" t="s">
        <v>35</v>
      </c>
      <c r="D59" s="26">
        <v>131</v>
      </c>
      <c r="E59" s="18" t="s">
        <v>26</v>
      </c>
      <c r="F59" s="179"/>
      <c r="G59" s="131">
        <f>F59</f>
        <v>0</v>
      </c>
      <c r="H59" s="106">
        <f>G59*(1+$G$9)*(1+$G$11)*(1+$G$16)</f>
        <v>0</v>
      </c>
      <c r="I59" s="19" t="s">
        <v>15</v>
      </c>
      <c r="J59" s="3"/>
      <c r="K59" s="17"/>
    </row>
    <row r="60" spans="1:26" ht="15" customHeight="1" x14ac:dyDescent="0.2">
      <c r="A60" s="18" t="s">
        <v>37</v>
      </c>
      <c r="B60" s="24">
        <v>2007</v>
      </c>
      <c r="C60" s="18" t="s">
        <v>172</v>
      </c>
      <c r="D60" s="20">
        <v>132</v>
      </c>
      <c r="E60" s="18" t="s">
        <v>19</v>
      </c>
      <c r="F60" s="179">
        <f>130369.99/4-F61</f>
        <v>12295.252500000002</v>
      </c>
      <c r="G60" s="131">
        <f>(F60)*$G$27</f>
        <v>167215.43400000004</v>
      </c>
      <c r="H60" s="106">
        <f>G60*(1+$G$9)*(1+$G$11)*(1+$G$16)</f>
        <v>173218.46808060005</v>
      </c>
      <c r="I60" s="19" t="s">
        <v>15</v>
      </c>
      <c r="J60" s="3"/>
      <c r="K60" s="17"/>
    </row>
    <row r="61" spans="1:26" ht="15" customHeight="1" x14ac:dyDescent="0.2">
      <c r="A61" s="18" t="s">
        <v>37</v>
      </c>
      <c r="B61" s="24">
        <v>2007</v>
      </c>
      <c r="C61" s="18" t="s">
        <v>173</v>
      </c>
      <c r="D61" s="20">
        <v>132</v>
      </c>
      <c r="E61" s="18" t="s">
        <v>174</v>
      </c>
      <c r="F61" s="179">
        <f>81188.98/4</f>
        <v>20297.244999999999</v>
      </c>
      <c r="G61" s="131">
        <f>(F61)*$G$27</f>
        <v>276042.53200000001</v>
      </c>
      <c r="H61" s="106">
        <f>(G61/G$26*H$26)*(1+$G$9)*(1+$G$11)*(1+$G$16)</f>
        <v>346609.04108945461</v>
      </c>
      <c r="I61" s="19" t="s">
        <v>15</v>
      </c>
      <c r="J61" s="3"/>
      <c r="K61" s="17"/>
    </row>
    <row r="62" spans="1:26" ht="15" customHeight="1" x14ac:dyDescent="0.2">
      <c r="A62" s="18" t="s">
        <v>37</v>
      </c>
      <c r="B62" s="24">
        <v>2007</v>
      </c>
      <c r="C62" s="25" t="s">
        <v>143</v>
      </c>
      <c r="D62" s="26">
        <v>8906</v>
      </c>
      <c r="E62" s="18" t="s">
        <v>14</v>
      </c>
      <c r="F62" s="179"/>
      <c r="G62" s="131">
        <f>(F62)*$G$27</f>
        <v>0</v>
      </c>
      <c r="H62" s="106">
        <f>G62*(1+$G$9)*(1+$G$11)*(1+$G$16)</f>
        <v>0</v>
      </c>
      <c r="I62" s="19" t="s">
        <v>15</v>
      </c>
      <c r="J62" s="3"/>
      <c r="K62" s="17"/>
    </row>
    <row r="63" spans="1:26" ht="15" customHeight="1" x14ac:dyDescent="0.2">
      <c r="A63" s="18" t="s">
        <v>37</v>
      </c>
      <c r="B63" s="24">
        <v>2007</v>
      </c>
      <c r="C63" s="25" t="s">
        <v>144</v>
      </c>
      <c r="D63" s="26">
        <v>9114</v>
      </c>
      <c r="E63" s="18" t="s">
        <v>14</v>
      </c>
      <c r="F63" s="179">
        <v>2360.2600000000002</v>
      </c>
      <c r="G63" s="131">
        <f>(F63)*$I$27</f>
        <v>28323.120000000003</v>
      </c>
      <c r="H63" s="106">
        <f>G63*(1+$G$9)*(1+$G$11)*(1+$G$16)</f>
        <v>29339.920008000005</v>
      </c>
      <c r="I63" s="19" t="s">
        <v>15</v>
      </c>
      <c r="J63" s="3"/>
      <c r="K63" s="4"/>
      <c r="L63" s="84"/>
      <c r="M63" s="5"/>
      <c r="N63" s="29"/>
      <c r="R63" s="5"/>
      <c r="S63" s="5"/>
      <c r="T63" s="5"/>
      <c r="U63" s="5"/>
      <c r="V63" s="5"/>
      <c r="W63" s="5"/>
      <c r="X63" s="5"/>
      <c r="Y63" s="5"/>
      <c r="Z63" s="30"/>
    </row>
    <row r="64" spans="1:26" ht="15" customHeight="1" x14ac:dyDescent="0.2">
      <c r="A64" s="18"/>
      <c r="B64" s="24"/>
      <c r="C64" s="25"/>
      <c r="D64" s="26"/>
      <c r="E64" s="18"/>
      <c r="F64" s="179"/>
      <c r="G64" s="131"/>
      <c r="H64" s="106">
        <f>SUM(H56:H63)</f>
        <v>1677854.1026628546</v>
      </c>
      <c r="I64" s="19"/>
      <c r="J64" s="3"/>
      <c r="K64" s="4"/>
      <c r="L64" s="84"/>
      <c r="M64" s="5"/>
      <c r="N64" s="29"/>
      <c r="R64" s="5"/>
      <c r="S64" s="5"/>
      <c r="T64" s="5"/>
      <c r="U64" s="5"/>
      <c r="V64" s="5"/>
      <c r="W64" s="5"/>
      <c r="X64" s="5"/>
      <c r="Y64" s="5"/>
      <c r="Z64" s="30"/>
    </row>
    <row r="65" spans="1:26" ht="15" customHeight="1" x14ac:dyDescent="0.2">
      <c r="A65" s="18" t="s">
        <v>37</v>
      </c>
      <c r="B65" s="24">
        <v>2007</v>
      </c>
      <c r="C65" s="25" t="s">
        <v>28</v>
      </c>
      <c r="D65" s="26">
        <v>155</v>
      </c>
      <c r="E65" s="18" t="s">
        <v>29</v>
      </c>
      <c r="F65" s="179">
        <v>5987.6</v>
      </c>
      <c r="G65" s="131">
        <f>(F65*1.1)*$E$27</f>
        <v>79036.320000000007</v>
      </c>
      <c r="H65" s="106">
        <f>G65*(1+$G$9)*(1+$G$11)*(1+$G$16)</f>
        <v>81873.723888000008</v>
      </c>
      <c r="I65" s="19" t="s">
        <v>15</v>
      </c>
      <c r="J65" s="3"/>
      <c r="K65" s="17"/>
    </row>
    <row r="66" spans="1:26" ht="15" customHeight="1" x14ac:dyDescent="0.2">
      <c r="A66" s="18" t="s">
        <v>37</v>
      </c>
      <c r="B66" s="24">
        <v>2007</v>
      </c>
      <c r="C66" s="18" t="s">
        <v>38</v>
      </c>
      <c r="D66" s="20">
        <v>154</v>
      </c>
      <c r="E66" s="18" t="s">
        <v>19</v>
      </c>
      <c r="F66" s="179">
        <f>1908.58+744.8</f>
        <v>2653.38</v>
      </c>
      <c r="G66" s="131">
        <f>(F66)*$G$27</f>
        <v>36085.968000000001</v>
      </c>
      <c r="H66" s="106">
        <f>G66*(1+$G$9)*(1+$G$11)*(1+$G$16)</f>
        <v>37381.454251200004</v>
      </c>
      <c r="I66" s="19" t="s">
        <v>15</v>
      </c>
      <c r="J66" s="3"/>
      <c r="K66" s="17"/>
    </row>
    <row r="67" spans="1:26" ht="15" customHeight="1" x14ac:dyDescent="0.2">
      <c r="A67" s="18" t="s">
        <v>37</v>
      </c>
      <c r="B67" s="24">
        <v>2007</v>
      </c>
      <c r="C67" s="25" t="s">
        <v>30</v>
      </c>
      <c r="D67" s="26">
        <v>133</v>
      </c>
      <c r="E67" s="18" t="s">
        <v>31</v>
      </c>
      <c r="F67" s="179">
        <v>0</v>
      </c>
      <c r="G67" s="131"/>
      <c r="H67" s="106">
        <f>G67*(1+$G$9)*(1+$G$11)*(1+$G$16)</f>
        <v>0</v>
      </c>
      <c r="I67" s="19" t="s">
        <v>15</v>
      </c>
      <c r="J67" s="3"/>
      <c r="K67" s="4"/>
      <c r="L67" s="84"/>
      <c r="M67" s="5"/>
      <c r="N67" s="29"/>
      <c r="R67" s="5"/>
      <c r="S67" s="5"/>
      <c r="T67" s="5"/>
      <c r="U67" s="5"/>
      <c r="V67" s="5"/>
      <c r="W67" s="5"/>
      <c r="X67" s="5"/>
      <c r="Y67" s="5"/>
      <c r="Z67" s="30"/>
    </row>
    <row r="68" spans="1:26" ht="15" customHeight="1" x14ac:dyDescent="0.2">
      <c r="A68" s="111"/>
      <c r="B68" s="112"/>
      <c r="C68" s="113"/>
      <c r="D68" s="114"/>
      <c r="E68" s="111"/>
      <c r="F68" s="180">
        <f>SUM(F56:F67)</f>
        <v>123709.25750000001</v>
      </c>
      <c r="G68" s="123">
        <f>SUM(G56:G67)</f>
        <v>1676274.4460000005</v>
      </c>
      <c r="H68" s="123">
        <f>H64+H65+H66</f>
        <v>1797109.2808020546</v>
      </c>
      <c r="I68" s="19"/>
      <c r="J68" s="3" t="e">
        <f>H68-#REF!</f>
        <v>#REF!</v>
      </c>
      <c r="K68" s="17"/>
    </row>
    <row r="69" spans="1:26" ht="15" customHeight="1" x14ac:dyDescent="0.2">
      <c r="A69" s="18" t="s">
        <v>39</v>
      </c>
      <c r="B69" s="24">
        <v>2008</v>
      </c>
      <c r="C69" s="25" t="s">
        <v>16</v>
      </c>
      <c r="D69" s="26">
        <v>188</v>
      </c>
      <c r="E69" s="18" t="s">
        <v>17</v>
      </c>
      <c r="F69" s="181">
        <f>89229.59-3305.76</f>
        <v>85923.83</v>
      </c>
      <c r="G69" s="131">
        <f>(F69)*$G$27</f>
        <v>1168564.088</v>
      </c>
      <c r="H69" s="106">
        <f>G69*(1+$G$9)*(1+$G$11)*(1+$G$16)</f>
        <v>1210515.5387592001</v>
      </c>
      <c r="I69" s="19" t="s">
        <v>15</v>
      </c>
      <c r="J69" s="3"/>
      <c r="K69" s="17"/>
    </row>
    <row r="70" spans="1:26" ht="15" customHeight="1" x14ac:dyDescent="0.2">
      <c r="A70" s="18" t="s">
        <v>39</v>
      </c>
      <c r="B70" s="24">
        <v>2008</v>
      </c>
      <c r="C70" s="25" t="s">
        <v>21</v>
      </c>
      <c r="D70" s="26">
        <v>189</v>
      </c>
      <c r="E70" s="18" t="s">
        <v>22</v>
      </c>
      <c r="F70" s="181">
        <v>3306.76</v>
      </c>
      <c r="G70" s="131">
        <f>(F70)*$G$27</f>
        <v>44971.936000000002</v>
      </c>
      <c r="H70" s="106">
        <f>G70*(1+$G$9)*(1+$G$11)*(1+$G$16)</f>
        <v>46586.428502400006</v>
      </c>
      <c r="I70" s="19" t="s">
        <v>15</v>
      </c>
      <c r="J70" s="3"/>
      <c r="K70" s="17"/>
    </row>
    <row r="71" spans="1:26" ht="15" customHeight="1" x14ac:dyDescent="0.2">
      <c r="A71" s="18" t="s">
        <v>39</v>
      </c>
      <c r="B71" s="24">
        <v>2008</v>
      </c>
      <c r="C71" s="25" t="s">
        <v>34</v>
      </c>
      <c r="D71" s="26">
        <v>190</v>
      </c>
      <c r="E71" s="18"/>
      <c r="F71" s="181"/>
      <c r="G71" s="131">
        <f>(F71)*$G$27</f>
        <v>0</v>
      </c>
      <c r="H71" s="106">
        <f>G71*(1+$G$9)*(1+$G$11)*(1+$G$16)</f>
        <v>0</v>
      </c>
      <c r="I71" s="19" t="s">
        <v>15</v>
      </c>
      <c r="J71" s="3"/>
      <c r="K71" s="17"/>
    </row>
    <row r="72" spans="1:26" ht="15" customHeight="1" x14ac:dyDescent="0.2">
      <c r="A72" s="18" t="s">
        <v>39</v>
      </c>
      <c r="B72" s="24">
        <v>2008</v>
      </c>
      <c r="C72" s="25" t="s">
        <v>35</v>
      </c>
      <c r="D72" s="26">
        <v>191</v>
      </c>
      <c r="E72" s="18" t="s">
        <v>26</v>
      </c>
      <c r="F72" s="181"/>
      <c r="G72" s="131">
        <f>F72</f>
        <v>0</v>
      </c>
      <c r="H72" s="106">
        <f>G72*(1+$G$9)*(1+$G$11)*(1+$G$16)</f>
        <v>0</v>
      </c>
      <c r="I72" s="19" t="s">
        <v>15</v>
      </c>
      <c r="J72" s="3"/>
      <c r="K72" s="17"/>
    </row>
    <row r="73" spans="1:26" ht="15" customHeight="1" x14ac:dyDescent="0.2">
      <c r="A73" s="18" t="s">
        <v>39</v>
      </c>
      <c r="B73" s="24">
        <v>2008</v>
      </c>
      <c r="C73" s="18" t="s">
        <v>172</v>
      </c>
      <c r="D73" s="20">
        <v>192</v>
      </c>
      <c r="E73" s="18" t="s">
        <v>19</v>
      </c>
      <c r="F73" s="181">
        <f>200806.78-F82-20464.23</f>
        <v>42328.67</v>
      </c>
      <c r="G73" s="131">
        <f>(F73)*$G$27</f>
        <v>575669.91200000001</v>
      </c>
      <c r="H73" s="106">
        <f>G73*(1+$G$9)*(1+$G$11)*(1+$G$16)</f>
        <v>596336.46184080001</v>
      </c>
      <c r="I73" s="19" t="s">
        <v>15</v>
      </c>
      <c r="J73" s="3"/>
      <c r="K73" s="17"/>
    </row>
    <row r="74" spans="1:26" ht="15" customHeight="1" x14ac:dyDescent="0.2">
      <c r="A74" s="18" t="s">
        <v>39</v>
      </c>
      <c r="B74" s="24">
        <v>2008</v>
      </c>
      <c r="C74" s="18" t="s">
        <v>173</v>
      </c>
      <c r="D74" s="20">
        <v>192</v>
      </c>
      <c r="E74" s="18" t="s">
        <v>174</v>
      </c>
      <c r="F74" s="181">
        <f>((168107.48+ 941952.53 )/4)-F83</f>
        <v>49676.852500000008</v>
      </c>
      <c r="G74" s="131">
        <f>(F74)*$G$27</f>
        <v>675605.19400000013</v>
      </c>
      <c r="H74" s="106">
        <f>(G74/G$26*H$26)*(1+$G$9)*(1+$G$11)*(1+$G$16)</f>
        <v>848314.44904800016</v>
      </c>
      <c r="I74" s="19" t="s">
        <v>15</v>
      </c>
      <c r="J74" s="3"/>
      <c r="K74" s="17">
        <f>1913287.11/4</f>
        <v>478321.77750000003</v>
      </c>
    </row>
    <row r="75" spans="1:26" ht="15" customHeight="1" x14ac:dyDescent="0.2">
      <c r="A75" s="18" t="s">
        <v>39</v>
      </c>
      <c r="B75" s="24">
        <v>2008</v>
      </c>
      <c r="C75" s="18" t="s">
        <v>40</v>
      </c>
      <c r="D75" s="20">
        <v>3474</v>
      </c>
      <c r="E75" s="18" t="s">
        <v>19</v>
      </c>
      <c r="F75" s="181"/>
      <c r="G75" s="131"/>
      <c r="H75" s="106">
        <f>G75*(1+$G$9)*(1+$G$11)*(1+$G$16)</f>
        <v>0</v>
      </c>
      <c r="I75" s="19" t="s">
        <v>15</v>
      </c>
      <c r="J75" s="3"/>
      <c r="K75" s="17">
        <f>(168107.48+ 941952.53 )/4</f>
        <v>277515.0025</v>
      </c>
    </row>
    <row r="76" spans="1:26" ht="15" customHeight="1" x14ac:dyDescent="0.2">
      <c r="A76" s="18" t="s">
        <v>39</v>
      </c>
      <c r="B76" s="24">
        <v>2008</v>
      </c>
      <c r="C76" s="25" t="s">
        <v>143</v>
      </c>
      <c r="D76" s="26">
        <v>8907</v>
      </c>
      <c r="E76" s="18" t="s">
        <v>14</v>
      </c>
      <c r="F76" s="179"/>
      <c r="G76" s="131">
        <f>(F76)*$G$27</f>
        <v>0</v>
      </c>
      <c r="H76" s="106">
        <f>G76*(1+$G$9)*(1+$G$11)*(1+$G$16)</f>
        <v>0</v>
      </c>
      <c r="I76" s="19" t="s">
        <v>15</v>
      </c>
      <c r="J76" s="3"/>
      <c r="K76" s="17">
        <v>200806.77500000002</v>
      </c>
    </row>
    <row r="77" spans="1:26" ht="15" customHeight="1" x14ac:dyDescent="0.2">
      <c r="A77" s="18" t="s">
        <v>39</v>
      </c>
      <c r="B77" s="24">
        <v>2008</v>
      </c>
      <c r="C77" s="25" t="s">
        <v>144</v>
      </c>
      <c r="D77" s="26">
        <v>9115</v>
      </c>
      <c r="E77" s="18" t="s">
        <v>14</v>
      </c>
      <c r="F77" s="179">
        <f>2953.55</f>
        <v>2953.55</v>
      </c>
      <c r="G77" s="131">
        <f>(F77)*$I$27</f>
        <v>35442.600000000006</v>
      </c>
      <c r="H77" s="106">
        <f>G77*(1+$G$9)*(1+$G$11)*(1+$G$16)</f>
        <v>36714.989340000007</v>
      </c>
      <c r="I77" s="19" t="s">
        <v>15</v>
      </c>
      <c r="J77" s="3"/>
      <c r="K77" s="4"/>
      <c r="L77" s="84"/>
      <c r="M77" s="5"/>
      <c r="N77" s="29"/>
      <c r="R77" s="5"/>
      <c r="S77" s="5"/>
      <c r="T77" s="5"/>
      <c r="U77" s="5"/>
      <c r="V77" s="5"/>
      <c r="W77" s="5"/>
      <c r="X77" s="5"/>
      <c r="Y77" s="5"/>
      <c r="Z77" s="30"/>
    </row>
    <row r="78" spans="1:26" ht="15" customHeight="1" x14ac:dyDescent="0.2">
      <c r="A78" s="18"/>
      <c r="B78" s="24"/>
      <c r="C78" s="25"/>
      <c r="D78" s="26"/>
      <c r="E78" s="18"/>
      <c r="F78" s="179"/>
      <c r="G78" s="131"/>
      <c r="H78" s="106">
        <f>SUM(H69:H77)</f>
        <v>2738467.8674904001</v>
      </c>
      <c r="I78" s="19"/>
      <c r="J78" s="3"/>
      <c r="K78" s="4"/>
      <c r="L78" s="84"/>
      <c r="M78" s="5"/>
      <c r="N78" s="29"/>
      <c r="R78" s="5"/>
      <c r="S78" s="5"/>
      <c r="T78" s="5"/>
      <c r="U78" s="5"/>
      <c r="V78" s="5"/>
      <c r="W78" s="5"/>
      <c r="X78" s="5"/>
      <c r="Y78" s="5"/>
      <c r="Z78" s="30"/>
    </row>
    <row r="79" spans="1:26" ht="15" customHeight="1" x14ac:dyDescent="0.2">
      <c r="A79" s="18" t="s">
        <v>39</v>
      </c>
      <c r="B79" s="24">
        <v>2008</v>
      </c>
      <c r="C79" s="25" t="s">
        <v>28</v>
      </c>
      <c r="D79" s="26">
        <v>220</v>
      </c>
      <c r="E79" s="18" t="s">
        <v>29</v>
      </c>
      <c r="F79" s="181">
        <v>7783.88</v>
      </c>
      <c r="G79" s="131">
        <f>(F79*1.1)*$E$27</f>
        <v>102747.216</v>
      </c>
      <c r="H79" s="106">
        <f>G79*(1+$G$9)*(1+$G$11)*(1+$G$16)</f>
        <v>106435.84105440001</v>
      </c>
      <c r="I79" s="19" t="s">
        <v>15</v>
      </c>
      <c r="J79" s="3"/>
      <c r="K79" s="17"/>
    </row>
    <row r="80" spans="1:26" ht="15" customHeight="1" x14ac:dyDescent="0.2">
      <c r="A80" s="18" t="s">
        <v>39</v>
      </c>
      <c r="B80" s="24">
        <v>2008</v>
      </c>
      <c r="C80" s="18" t="s">
        <v>38</v>
      </c>
      <c r="D80" s="20">
        <v>219</v>
      </c>
      <c r="E80" s="18" t="s">
        <v>19</v>
      </c>
      <c r="F80" s="181">
        <v>1372.03</v>
      </c>
      <c r="G80" s="131">
        <f>(F80)*$G$27</f>
        <v>18659.608</v>
      </c>
      <c r="H80" s="106">
        <f>G80*(1+$G$9)*(1+$G$11)*(1+$G$16)</f>
        <v>19329.4879272</v>
      </c>
      <c r="I80" s="19" t="s">
        <v>15</v>
      </c>
      <c r="J80" s="3"/>
      <c r="K80" s="17"/>
    </row>
    <row r="81" spans="1:26" ht="15" customHeight="1" x14ac:dyDescent="0.2">
      <c r="A81" s="18" t="s">
        <v>39</v>
      </c>
      <c r="B81" s="24">
        <v>2008</v>
      </c>
      <c r="C81" s="25" t="s">
        <v>30</v>
      </c>
      <c r="D81" s="26">
        <v>193</v>
      </c>
      <c r="E81" s="18" t="s">
        <v>31</v>
      </c>
      <c r="F81" s="181">
        <v>0</v>
      </c>
      <c r="G81" s="131"/>
      <c r="H81" s="106">
        <f>G81*(1+$G$9)*(1+$G$11)*(1+$G$16)</f>
        <v>0</v>
      </c>
      <c r="I81" s="19" t="s">
        <v>15</v>
      </c>
      <c r="J81" s="3"/>
      <c r="K81" s="4"/>
      <c r="L81" s="84"/>
      <c r="M81" s="5"/>
      <c r="N81" s="29"/>
      <c r="R81" s="5"/>
      <c r="S81" s="5"/>
      <c r="T81" s="5"/>
      <c r="U81" s="5"/>
      <c r="V81" s="5"/>
      <c r="W81" s="5"/>
      <c r="X81" s="5"/>
      <c r="Y81" s="5"/>
      <c r="Z81" s="30"/>
    </row>
    <row r="82" spans="1:26" ht="15" customHeight="1" x14ac:dyDescent="0.2">
      <c r="A82" s="18" t="s">
        <v>39</v>
      </c>
      <c r="B82" s="242" t="s">
        <v>191</v>
      </c>
      <c r="C82" s="18" t="s">
        <v>172</v>
      </c>
      <c r="D82" s="244" t="s">
        <v>193</v>
      </c>
      <c r="E82" s="18" t="s">
        <v>19</v>
      </c>
      <c r="F82" s="181">
        <v>138013.88</v>
      </c>
      <c r="G82" s="131">
        <f>(F82)*$G$27+(35000*8)</f>
        <v>2156988.7680000002</v>
      </c>
      <c r="H82" s="106">
        <f>G82*(1+$G$9)*(1+$G$11)*(1+$G$16)</f>
        <v>2234424.6647712002</v>
      </c>
      <c r="I82" s="19" t="s">
        <v>15</v>
      </c>
      <c r="J82" s="3"/>
      <c r="K82" s="17">
        <f>G82+G73</f>
        <v>2732658.68</v>
      </c>
      <c r="L82" s="17">
        <f>H82+H73</f>
        <v>2830761.1266120002</v>
      </c>
    </row>
    <row r="83" spans="1:26" ht="15" customHeight="1" x14ac:dyDescent="0.2">
      <c r="A83" s="18" t="s">
        <v>39</v>
      </c>
      <c r="B83" s="242" t="s">
        <v>191</v>
      </c>
      <c r="C83" s="18" t="s">
        <v>173</v>
      </c>
      <c r="D83" s="244" t="s">
        <v>193</v>
      </c>
      <c r="E83" s="18" t="s">
        <v>174</v>
      </c>
      <c r="F83" s="181">
        <v>227838.15</v>
      </c>
      <c r="G83" s="131">
        <f>(F83)*$G$27+(35000*8)</f>
        <v>3378598.84</v>
      </c>
      <c r="H83" s="106">
        <f>(G83/G$26*H$26)*(1+$G$9)*(1+$G$11)*(1+$G$16)</f>
        <v>4242291.5616436368</v>
      </c>
      <c r="I83" s="19" t="s">
        <v>15</v>
      </c>
      <c r="J83" s="3"/>
      <c r="K83" s="17">
        <f>G83+G74</f>
        <v>4054204.034</v>
      </c>
      <c r="L83" s="17">
        <f>H83+H74</f>
        <v>5090606.0106916372</v>
      </c>
    </row>
    <row r="84" spans="1:26" ht="15" customHeight="1" x14ac:dyDescent="0.2">
      <c r="A84" s="18" t="s">
        <v>39</v>
      </c>
      <c r="B84" s="242" t="s">
        <v>191</v>
      </c>
      <c r="C84" s="18" t="s">
        <v>40</v>
      </c>
      <c r="D84" s="244" t="s">
        <v>193</v>
      </c>
      <c r="E84" s="18" t="s">
        <v>19</v>
      </c>
      <c r="F84" s="181"/>
      <c r="G84" s="131"/>
      <c r="H84" s="106">
        <f>G84*(1+$G$9)*(1+$G$11)*(1+$G$16)</f>
        <v>0</v>
      </c>
      <c r="I84" s="19" t="s">
        <v>15</v>
      </c>
      <c r="J84" s="3"/>
      <c r="K84" s="17">
        <f>F83+F74</f>
        <v>277515.0025</v>
      </c>
    </row>
    <row r="85" spans="1:26" ht="15" customHeight="1" x14ac:dyDescent="0.2">
      <c r="A85" s="18" t="s">
        <v>39</v>
      </c>
      <c r="B85" s="242" t="s">
        <v>191</v>
      </c>
      <c r="C85" s="25" t="s">
        <v>143</v>
      </c>
      <c r="D85" s="244" t="s">
        <v>193</v>
      </c>
      <c r="E85" s="18" t="s">
        <v>14</v>
      </c>
      <c r="F85" s="179">
        <v>51.27</v>
      </c>
      <c r="G85" s="131">
        <f>(F85)*$G$27</f>
        <v>697.27200000000005</v>
      </c>
      <c r="H85" s="106">
        <f>G85*(1+$G$9)*(1+$G$11)*(1+$G$16)</f>
        <v>722.30406480000011</v>
      </c>
      <c r="I85" s="19" t="s">
        <v>15</v>
      </c>
      <c r="J85" s="3"/>
      <c r="K85" s="17">
        <f>F73+F82</f>
        <v>180342.55</v>
      </c>
    </row>
    <row r="86" spans="1:26" ht="15" customHeight="1" x14ac:dyDescent="0.2">
      <c r="A86" s="18" t="s">
        <v>39</v>
      </c>
      <c r="B86" s="242" t="s">
        <v>191</v>
      </c>
      <c r="C86" s="25" t="s">
        <v>144</v>
      </c>
      <c r="D86" s="244" t="s">
        <v>193</v>
      </c>
      <c r="E86" s="18" t="s">
        <v>14</v>
      </c>
      <c r="F86" s="179">
        <f>53143.65</f>
        <v>53143.65</v>
      </c>
      <c r="G86" s="131">
        <f>(F86)*$I$27</f>
        <v>637723.80000000005</v>
      </c>
      <c r="H86" s="106">
        <f>G86*(1+$G$9)*(1+$G$11)*(1+$G$16)</f>
        <v>660618.08442000009</v>
      </c>
      <c r="I86" s="19" t="s">
        <v>15</v>
      </c>
      <c r="J86" s="3"/>
      <c r="K86" s="4"/>
      <c r="L86" s="84"/>
      <c r="M86" s="5"/>
      <c r="N86" s="29"/>
      <c r="R86" s="5"/>
      <c r="S86" s="5"/>
      <c r="T86" s="5"/>
      <c r="U86" s="5"/>
      <c r="V86" s="5"/>
      <c r="W86" s="5"/>
      <c r="X86" s="5"/>
      <c r="Y86" s="5"/>
      <c r="Z86" s="30"/>
    </row>
    <row r="87" spans="1:26" ht="15" customHeight="1" x14ac:dyDescent="0.2">
      <c r="A87" s="18"/>
      <c r="B87" s="242"/>
      <c r="C87" s="25"/>
      <c r="D87" s="26"/>
      <c r="E87" s="18"/>
      <c r="F87" s="179"/>
      <c r="G87" s="131"/>
      <c r="H87" s="106">
        <f>SUM(H82:H86)</f>
        <v>7138056.6148996372</v>
      </c>
      <c r="I87" s="19"/>
      <c r="J87" s="3"/>
      <c r="K87" s="4"/>
      <c r="L87" s="84"/>
      <c r="M87" s="5"/>
      <c r="N87" s="29"/>
      <c r="R87" s="5"/>
      <c r="S87" s="5"/>
      <c r="T87" s="5"/>
      <c r="U87" s="5"/>
      <c r="V87" s="5"/>
      <c r="W87" s="5"/>
      <c r="X87" s="5"/>
      <c r="Y87" s="5"/>
      <c r="Z87" s="30"/>
    </row>
    <row r="88" spans="1:26" ht="15" customHeight="1" x14ac:dyDescent="0.2">
      <c r="A88" s="111"/>
      <c r="B88" s="112"/>
      <c r="C88" s="113"/>
      <c r="D88" s="114"/>
      <c r="E88" s="111"/>
      <c r="F88" s="180">
        <f>SUM(F69:F86)</f>
        <v>612392.52250000008</v>
      </c>
      <c r="G88" s="180">
        <f t="shared" ref="G88" si="1">SUM(G69:G86)</f>
        <v>8795669.2340000011</v>
      </c>
      <c r="H88" s="180">
        <f>H78+H79+H80+H87</f>
        <v>10002289.811371638</v>
      </c>
      <c r="I88" s="19"/>
      <c r="J88" s="3" t="e">
        <f>-(H88-#REF!)</f>
        <v>#REF!</v>
      </c>
      <c r="K88" s="4" t="e">
        <f>-(#REF!-#REF!)</f>
        <v>#REF!</v>
      </c>
      <c r="L88" s="4" t="e">
        <f>-(#REF!-#REF!)</f>
        <v>#REF!</v>
      </c>
      <c r="M88" s="3" t="e">
        <f>-(#REF!-#REF!)</f>
        <v>#REF!</v>
      </c>
      <c r="N88" s="6" t="s">
        <v>195</v>
      </c>
    </row>
    <row r="89" spans="1:26" ht="15" customHeight="1" x14ac:dyDescent="0.2">
      <c r="A89" s="18" t="s">
        <v>41</v>
      </c>
      <c r="B89" s="24">
        <v>2009</v>
      </c>
      <c r="C89" s="25" t="s">
        <v>16</v>
      </c>
      <c r="D89" s="26">
        <v>225</v>
      </c>
      <c r="E89" s="18" t="s">
        <v>17</v>
      </c>
      <c r="F89" s="179">
        <f>123586.73-3469.71-1590.91-2792.7</f>
        <v>115733.40999999999</v>
      </c>
      <c r="G89" s="131">
        <f t="shared" ref="G89:G95" si="2">(F89)*$G$27</f>
        <v>1573974.3759999997</v>
      </c>
      <c r="H89" s="106">
        <f>G89*(1+$G$9)*(1+$G$11)*(1+$G$16)</f>
        <v>1630480.0560983997</v>
      </c>
      <c r="I89" s="19" t="s">
        <v>15</v>
      </c>
      <c r="J89" s="3"/>
      <c r="K89" s="17"/>
    </row>
    <row r="90" spans="1:26" ht="15" customHeight="1" x14ac:dyDescent="0.2">
      <c r="A90" s="18" t="s">
        <v>41</v>
      </c>
      <c r="B90" s="24">
        <v>2009</v>
      </c>
      <c r="C90" s="25" t="s">
        <v>21</v>
      </c>
      <c r="D90" s="26">
        <v>226</v>
      </c>
      <c r="E90" s="18" t="s">
        <v>22</v>
      </c>
      <c r="F90" s="179">
        <v>2792.7</v>
      </c>
      <c r="G90" s="131">
        <f t="shared" si="2"/>
        <v>37980.719999999994</v>
      </c>
      <c r="H90" s="106">
        <f>G90*(1+$G$9)*(1+$G$11)*(1+$G$16)</f>
        <v>39344.227847999995</v>
      </c>
      <c r="I90" s="19" t="s">
        <v>15</v>
      </c>
      <c r="J90" s="3"/>
      <c r="K90" s="17"/>
    </row>
    <row r="91" spans="1:26" ht="15" customHeight="1" x14ac:dyDescent="0.2">
      <c r="A91" s="18" t="s">
        <v>41</v>
      </c>
      <c r="B91" s="24">
        <v>2009</v>
      </c>
      <c r="C91" s="25" t="s">
        <v>25</v>
      </c>
      <c r="D91" s="26">
        <v>228</v>
      </c>
      <c r="E91" s="18" t="s">
        <v>26</v>
      </c>
      <c r="F91" s="179"/>
      <c r="G91" s="131">
        <f t="shared" si="2"/>
        <v>0</v>
      </c>
      <c r="H91" s="106">
        <f>G91*(1+$G$9)*(1+$G$11)*(1+$G$16)</f>
        <v>0</v>
      </c>
      <c r="I91" s="19" t="s">
        <v>15</v>
      </c>
      <c r="J91" s="3"/>
      <c r="K91" s="17"/>
    </row>
    <row r="92" spans="1:26" ht="15" customHeight="1" x14ac:dyDescent="0.2">
      <c r="A92" s="18" t="s">
        <v>41</v>
      </c>
      <c r="B92" s="24">
        <v>2009</v>
      </c>
      <c r="C92" s="18" t="s">
        <v>172</v>
      </c>
      <c r="D92" s="20">
        <v>229</v>
      </c>
      <c r="E92" s="18" t="s">
        <v>19</v>
      </c>
      <c r="F92" s="179">
        <f>229367.75/4-F93</f>
        <v>21631.802499999998</v>
      </c>
      <c r="G92" s="131">
        <f t="shared" si="2"/>
        <v>294192.51399999997</v>
      </c>
      <c r="H92" s="106">
        <f>G92*(1+$G$9)*(1+$G$11)*(1+$G$16)</f>
        <v>304754.02525259997</v>
      </c>
      <c r="I92" s="19" t="s">
        <v>15</v>
      </c>
      <c r="J92" s="3"/>
      <c r="K92" s="17"/>
    </row>
    <row r="93" spans="1:26" ht="15" customHeight="1" x14ac:dyDescent="0.2">
      <c r="A93" s="18" t="s">
        <v>41</v>
      </c>
      <c r="B93" s="24">
        <v>2009</v>
      </c>
      <c r="C93" s="18" t="s">
        <v>173</v>
      </c>
      <c r="D93" s="20">
        <v>229</v>
      </c>
      <c r="E93" s="18" t="s">
        <v>174</v>
      </c>
      <c r="F93" s="179">
        <f>142840.54/4</f>
        <v>35710.135000000002</v>
      </c>
      <c r="G93" s="131">
        <f t="shared" si="2"/>
        <v>485657.83600000001</v>
      </c>
      <c r="H93" s="106">
        <f>(G93/G$26*H$26)*(1+$G$9)*(1+$G$11)*(1+$G$16)</f>
        <v>609809.63916654559</v>
      </c>
      <c r="I93" s="19" t="s">
        <v>15</v>
      </c>
      <c r="J93" s="3"/>
      <c r="K93" s="17"/>
    </row>
    <row r="94" spans="1:26" ht="15" customHeight="1" x14ac:dyDescent="0.2">
      <c r="A94" s="18" t="s">
        <v>41</v>
      </c>
      <c r="B94" s="24">
        <v>2009</v>
      </c>
      <c r="C94" s="25" t="s">
        <v>42</v>
      </c>
      <c r="D94" s="26">
        <v>227</v>
      </c>
      <c r="E94" s="18" t="s">
        <v>43</v>
      </c>
      <c r="F94" s="179"/>
      <c r="G94" s="131">
        <f t="shared" si="2"/>
        <v>0</v>
      </c>
      <c r="H94" s="106">
        <f>G94*(1+$G$9)*(1+$G$11)*(1+$G$16)</f>
        <v>0</v>
      </c>
      <c r="I94" s="19" t="s">
        <v>15</v>
      </c>
      <c r="J94" s="3"/>
      <c r="K94" s="17"/>
    </row>
    <row r="95" spans="1:26" ht="15" customHeight="1" x14ac:dyDescent="0.2">
      <c r="A95" s="18" t="s">
        <v>41</v>
      </c>
      <c r="B95" s="24">
        <v>2009</v>
      </c>
      <c r="C95" s="25" t="s">
        <v>143</v>
      </c>
      <c r="D95" s="26">
        <v>8908</v>
      </c>
      <c r="E95" s="18" t="s">
        <v>14</v>
      </c>
      <c r="F95" s="179"/>
      <c r="G95" s="131">
        <f t="shared" si="2"/>
        <v>0</v>
      </c>
      <c r="H95" s="106">
        <f>G95*(1+$G$9)*(1+$G$11)*(1+$G$16)</f>
        <v>0</v>
      </c>
      <c r="I95" s="19" t="s">
        <v>15</v>
      </c>
      <c r="J95" s="3"/>
      <c r="K95" s="17"/>
    </row>
    <row r="96" spans="1:26" ht="15" customHeight="1" x14ac:dyDescent="0.2">
      <c r="A96" s="18" t="s">
        <v>41</v>
      </c>
      <c r="B96" s="24">
        <v>2009</v>
      </c>
      <c r="C96" s="25" t="s">
        <v>144</v>
      </c>
      <c r="D96" s="26">
        <v>9116</v>
      </c>
      <c r="E96" s="18" t="s">
        <v>14</v>
      </c>
      <c r="F96" s="179">
        <v>2533.7199999999998</v>
      </c>
      <c r="G96" s="131">
        <f>(F96)*$I$27</f>
        <v>30404.639999999999</v>
      </c>
      <c r="H96" s="106">
        <f>G96*(1+$G$9)*(1+$G$11)*(1+$G$16)</f>
        <v>31496.166576</v>
      </c>
      <c r="I96" s="19" t="s">
        <v>15</v>
      </c>
      <c r="J96" s="3"/>
      <c r="K96" s="4"/>
      <c r="L96" s="84"/>
      <c r="M96" s="5"/>
      <c r="N96" s="29"/>
      <c r="R96" s="5"/>
      <c r="S96" s="5"/>
      <c r="T96" s="5"/>
      <c r="U96" s="5"/>
      <c r="V96" s="5"/>
      <c r="W96" s="5"/>
      <c r="X96" s="5"/>
      <c r="Y96" s="5"/>
      <c r="Z96" s="30"/>
    </row>
    <row r="97" spans="1:26" ht="15" customHeight="1" x14ac:dyDescent="0.2">
      <c r="A97" s="18"/>
      <c r="B97" s="24"/>
      <c r="C97" s="25"/>
      <c r="D97" s="26"/>
      <c r="E97" s="18"/>
      <c r="F97" s="179"/>
      <c r="G97" s="131"/>
      <c r="H97" s="106">
        <f>SUM(H89:H96)</f>
        <v>2615884.1149415448</v>
      </c>
      <c r="I97" s="19"/>
      <c r="J97" s="3"/>
      <c r="K97" s="4"/>
      <c r="L97" s="84"/>
      <c r="M97" s="5"/>
      <c r="N97" s="29"/>
      <c r="R97" s="5"/>
      <c r="S97" s="5"/>
      <c r="T97" s="5"/>
      <c r="U97" s="5"/>
      <c r="V97" s="5"/>
      <c r="W97" s="5"/>
      <c r="X97" s="5"/>
      <c r="Y97" s="5"/>
      <c r="Z97" s="30"/>
    </row>
    <row r="98" spans="1:26" ht="15" customHeight="1" x14ac:dyDescent="0.2">
      <c r="A98" s="18" t="s">
        <v>41</v>
      </c>
      <c r="B98" s="24">
        <v>2009</v>
      </c>
      <c r="C98" s="25" t="s">
        <v>28</v>
      </c>
      <c r="D98" s="26">
        <v>259</v>
      </c>
      <c r="E98" s="18" t="s">
        <v>29</v>
      </c>
      <c r="F98" s="179">
        <v>7783.88</v>
      </c>
      <c r="G98" s="131">
        <f>(F98*1.1)*$E$27</f>
        <v>102747.216</v>
      </c>
      <c r="H98" s="106">
        <f>G98*(1+$G$9)*(1+$G$11)*(1+$G$16)</f>
        <v>106435.84105440001</v>
      </c>
      <c r="I98" s="19" t="s">
        <v>15</v>
      </c>
      <c r="J98" s="3"/>
      <c r="K98" s="17"/>
    </row>
    <row r="99" spans="1:26" ht="15" customHeight="1" x14ac:dyDescent="0.2">
      <c r="A99" s="18" t="s">
        <v>41</v>
      </c>
      <c r="B99" s="24">
        <v>2009</v>
      </c>
      <c r="C99" s="18" t="s">
        <v>18</v>
      </c>
      <c r="D99" s="20">
        <v>258</v>
      </c>
      <c r="E99" s="18" t="s">
        <v>19</v>
      </c>
      <c r="F99" s="179">
        <v>1372.04</v>
      </c>
      <c r="G99" s="131">
        <f>(F99)*$G$27</f>
        <v>18659.743999999999</v>
      </c>
      <c r="H99" s="106">
        <f>G99*(1+$G$9)*(1+$G$11)*(1+$G$16)</f>
        <v>19329.628809599999</v>
      </c>
      <c r="I99" s="19" t="s">
        <v>15</v>
      </c>
      <c r="J99" s="3"/>
      <c r="K99" s="17"/>
    </row>
    <row r="100" spans="1:26" ht="15" customHeight="1" x14ac:dyDescent="0.2">
      <c r="A100" s="18" t="s">
        <v>41</v>
      </c>
      <c r="B100" s="24">
        <v>2009</v>
      </c>
      <c r="C100" s="25" t="s">
        <v>30</v>
      </c>
      <c r="D100" s="26">
        <v>230</v>
      </c>
      <c r="E100" s="18" t="s">
        <v>31</v>
      </c>
      <c r="F100" s="179"/>
      <c r="G100" s="131"/>
      <c r="H100" s="106">
        <f>G100*(1+$G$9)*(1+$G$11)*(1+$G$16)</f>
        <v>0</v>
      </c>
      <c r="I100" s="19" t="s">
        <v>15</v>
      </c>
      <c r="J100" s="3"/>
      <c r="K100" s="4"/>
      <c r="L100" s="84"/>
      <c r="M100" s="5"/>
      <c r="N100" s="29"/>
      <c r="R100" s="5"/>
      <c r="S100" s="5"/>
      <c r="T100" s="5"/>
      <c r="U100" s="5"/>
      <c r="V100" s="5"/>
      <c r="W100" s="5"/>
      <c r="X100" s="5"/>
      <c r="Y100" s="5"/>
      <c r="Z100" s="30"/>
    </row>
    <row r="101" spans="1:26" ht="15" customHeight="1" x14ac:dyDescent="0.2">
      <c r="A101" s="111"/>
      <c r="B101" s="112"/>
      <c r="C101" s="113"/>
      <c r="D101" s="114"/>
      <c r="E101" s="111"/>
      <c r="F101" s="180">
        <f>SUM(F89:F100)</f>
        <v>187557.6875</v>
      </c>
      <c r="G101" s="123">
        <f>SUM(G89:G100)</f>
        <v>2543617.0459999996</v>
      </c>
      <c r="H101" s="123">
        <f>H97+H98+H99</f>
        <v>2741649.5848055449</v>
      </c>
      <c r="I101" s="19"/>
      <c r="J101" s="3" t="e">
        <f>H101-#REF!</f>
        <v>#REF!</v>
      </c>
      <c r="K101" s="17"/>
    </row>
    <row r="102" spans="1:26" ht="15" customHeight="1" x14ac:dyDescent="0.2">
      <c r="A102" s="18" t="s">
        <v>44</v>
      </c>
      <c r="B102" s="24">
        <v>2011</v>
      </c>
      <c r="C102" s="25" t="s">
        <v>16</v>
      </c>
      <c r="D102" s="26">
        <v>333</v>
      </c>
      <c r="E102" s="18" t="s">
        <v>17</v>
      </c>
      <c r="F102" s="179">
        <f>25669.68-789.2-150.23</f>
        <v>24730.25</v>
      </c>
      <c r="G102" s="131">
        <f t="shared" ref="G102:G108" si="3">(F102)*$G$27</f>
        <v>336331.39999999997</v>
      </c>
      <c r="H102" s="106">
        <f>G102*(1+$G$9)*(1+$G$11)*(1+$G$16)</f>
        <v>348405.69725999999</v>
      </c>
      <c r="I102" s="19" t="s">
        <v>15</v>
      </c>
      <c r="J102" s="3"/>
      <c r="K102" s="17"/>
    </row>
    <row r="103" spans="1:26" ht="15" customHeight="1" x14ac:dyDescent="0.2">
      <c r="A103" s="18" t="s">
        <v>44</v>
      </c>
      <c r="B103" s="24">
        <v>2011</v>
      </c>
      <c r="C103" s="25" t="s">
        <v>21</v>
      </c>
      <c r="D103" s="26">
        <v>334</v>
      </c>
      <c r="E103" s="18" t="s">
        <v>22</v>
      </c>
      <c r="F103" s="179">
        <v>150.22999999999999</v>
      </c>
      <c r="G103" s="131">
        <f t="shared" si="3"/>
        <v>2043.1279999999997</v>
      </c>
      <c r="H103" s="106">
        <f>G103*(1+$G$9)*(1+$G$11)*(1+$G$16)</f>
        <v>2116.4762951999996</v>
      </c>
      <c r="I103" s="19" t="s">
        <v>15</v>
      </c>
      <c r="J103" s="3"/>
      <c r="K103" s="17"/>
    </row>
    <row r="104" spans="1:26" ht="15" customHeight="1" x14ac:dyDescent="0.2">
      <c r="A104" s="18" t="s">
        <v>44</v>
      </c>
      <c r="B104" s="24">
        <v>2011</v>
      </c>
      <c r="C104" s="25" t="s">
        <v>23</v>
      </c>
      <c r="D104" s="26">
        <v>335</v>
      </c>
      <c r="E104" s="18" t="s">
        <v>45</v>
      </c>
      <c r="F104" s="179"/>
      <c r="G104" s="131">
        <f t="shared" si="3"/>
        <v>0</v>
      </c>
      <c r="H104" s="106">
        <f>G104*(1+$G$9)*(1+$G$11)*(1+$G$16)</f>
        <v>0</v>
      </c>
      <c r="I104" s="19" t="s">
        <v>15</v>
      </c>
      <c r="J104" s="3"/>
      <c r="K104" s="17"/>
    </row>
    <row r="105" spans="1:26" ht="15" customHeight="1" x14ac:dyDescent="0.2">
      <c r="A105" s="18" t="s">
        <v>44</v>
      </c>
      <c r="B105" s="24">
        <v>2011</v>
      </c>
      <c r="C105" s="25" t="s">
        <v>35</v>
      </c>
      <c r="D105" s="26">
        <v>336</v>
      </c>
      <c r="E105" s="18" t="s">
        <v>26</v>
      </c>
      <c r="F105" s="179"/>
      <c r="G105" s="131">
        <f t="shared" si="3"/>
        <v>0</v>
      </c>
      <c r="H105" s="106">
        <f>G105*(1+$G$9)*(1+$G$11)*(1+$G$16)</f>
        <v>0</v>
      </c>
      <c r="I105" s="19" t="s">
        <v>15</v>
      </c>
      <c r="J105" s="3"/>
      <c r="K105" s="17"/>
    </row>
    <row r="106" spans="1:26" ht="15" customHeight="1" x14ac:dyDescent="0.2">
      <c r="A106" s="18" t="s">
        <v>44</v>
      </c>
      <c r="B106" s="24">
        <v>2011</v>
      </c>
      <c r="C106" s="18" t="s">
        <v>172</v>
      </c>
      <c r="D106" s="20">
        <v>337</v>
      </c>
      <c r="E106" s="18" t="s">
        <v>19</v>
      </c>
      <c r="F106" s="179">
        <f>15521.02/4-F107</f>
        <v>1463.8025000000002</v>
      </c>
      <c r="G106" s="131">
        <f t="shared" si="3"/>
        <v>19907.714000000004</v>
      </c>
      <c r="H106" s="106">
        <f>G106*(1+$G$9)*(1+$G$11)*(1+$G$16)</f>
        <v>20622.400932600005</v>
      </c>
      <c r="I106" s="19" t="s">
        <v>15</v>
      </c>
      <c r="J106" s="3"/>
      <c r="K106" s="17"/>
    </row>
    <row r="107" spans="1:26" ht="15" customHeight="1" x14ac:dyDescent="0.2">
      <c r="A107" s="18" t="s">
        <v>44</v>
      </c>
      <c r="B107" s="24">
        <v>2011</v>
      </c>
      <c r="C107" s="18" t="s">
        <v>173</v>
      </c>
      <c r="D107" s="20">
        <v>337</v>
      </c>
      <c r="E107" s="18" t="s">
        <v>174</v>
      </c>
      <c r="F107" s="179">
        <f>9665.81/4</f>
        <v>2416.4524999999999</v>
      </c>
      <c r="G107" s="131">
        <f t="shared" si="3"/>
        <v>32863.754000000001</v>
      </c>
      <c r="H107" s="106">
        <f>(G107/G$26*H$26)*(1+$G$9)*(1+$G$11)*(1+$G$16)</f>
        <v>41264.924568000002</v>
      </c>
      <c r="I107" s="19" t="s">
        <v>15</v>
      </c>
      <c r="J107" s="3"/>
      <c r="K107" s="17"/>
    </row>
    <row r="108" spans="1:26" ht="15" customHeight="1" x14ac:dyDescent="0.2">
      <c r="A108" s="18" t="s">
        <v>44</v>
      </c>
      <c r="B108" s="24">
        <v>2011</v>
      </c>
      <c r="C108" s="25" t="s">
        <v>143</v>
      </c>
      <c r="D108" s="26">
        <v>8909</v>
      </c>
      <c r="E108" s="18" t="s">
        <v>14</v>
      </c>
      <c r="F108" s="179"/>
      <c r="G108" s="131">
        <f t="shared" si="3"/>
        <v>0</v>
      </c>
      <c r="H108" s="106">
        <f>G108*(1+$G$9)*(1+$G$11)*(1+$G$16)</f>
        <v>0</v>
      </c>
      <c r="I108" s="19" t="s">
        <v>15</v>
      </c>
      <c r="J108" s="3"/>
      <c r="K108" s="17"/>
    </row>
    <row r="109" spans="1:26" ht="15" customHeight="1" x14ac:dyDescent="0.2">
      <c r="A109" s="18" t="s">
        <v>44</v>
      </c>
      <c r="B109" s="24">
        <v>2011</v>
      </c>
      <c r="C109" s="25" t="s">
        <v>144</v>
      </c>
      <c r="D109" s="26">
        <v>9117</v>
      </c>
      <c r="E109" s="18" t="s">
        <v>14</v>
      </c>
      <c r="F109" s="179">
        <v>198.23</v>
      </c>
      <c r="G109" s="131">
        <f>(F109)*$I$27</f>
        <v>2378.7599999999998</v>
      </c>
      <c r="H109" s="106">
        <f>G109*(1+$G$9)*(1+$G$11)*(1+$G$16)</f>
        <v>2464.1574839999998</v>
      </c>
      <c r="I109" s="19" t="s">
        <v>15</v>
      </c>
      <c r="J109" s="3"/>
      <c r="K109" s="4"/>
      <c r="L109" s="84"/>
      <c r="M109" s="5"/>
      <c r="N109" s="29"/>
      <c r="R109" s="5"/>
      <c r="S109" s="5"/>
      <c r="T109" s="5"/>
      <c r="U109" s="5"/>
      <c r="V109" s="5"/>
      <c r="W109" s="5"/>
      <c r="X109" s="5"/>
      <c r="Y109" s="5"/>
      <c r="Z109" s="30"/>
    </row>
    <row r="110" spans="1:26" ht="15" customHeight="1" x14ac:dyDescent="0.2">
      <c r="A110" s="18"/>
      <c r="B110" s="24"/>
      <c r="C110" s="25"/>
      <c r="D110" s="26"/>
      <c r="E110" s="18"/>
      <c r="F110" s="179"/>
      <c r="G110" s="131"/>
      <c r="H110" s="106">
        <f>SUM(H102:H109)</f>
        <v>414873.65653980005</v>
      </c>
      <c r="I110" s="19"/>
      <c r="J110" s="3"/>
      <c r="K110" s="4"/>
      <c r="L110" s="84"/>
      <c r="M110" s="5"/>
      <c r="N110" s="29"/>
      <c r="R110" s="5"/>
      <c r="S110" s="5"/>
      <c r="T110" s="5"/>
      <c r="U110" s="5"/>
      <c r="V110" s="5"/>
      <c r="W110" s="5"/>
      <c r="X110" s="5"/>
      <c r="Y110" s="5"/>
      <c r="Z110" s="30"/>
    </row>
    <row r="111" spans="1:26" ht="15" customHeight="1" x14ac:dyDescent="0.2">
      <c r="A111" s="18" t="s">
        <v>44</v>
      </c>
      <c r="B111" s="24">
        <v>2011</v>
      </c>
      <c r="C111" s="25" t="s">
        <v>28</v>
      </c>
      <c r="D111" s="26">
        <v>358</v>
      </c>
      <c r="E111" s="18" t="s">
        <v>29</v>
      </c>
      <c r="F111" s="179">
        <v>898.14</v>
      </c>
      <c r="G111" s="131">
        <f>(F111*1.1)*$E$27</f>
        <v>11855.448</v>
      </c>
      <c r="H111" s="106">
        <f>G111*(1+$G$9)*(1+$G$11)*(1+$G$16)</f>
        <v>12281.058583200002</v>
      </c>
      <c r="I111" s="19" t="s">
        <v>15</v>
      </c>
      <c r="J111" s="3"/>
      <c r="K111" s="17"/>
    </row>
    <row r="112" spans="1:26" ht="15" customHeight="1" x14ac:dyDescent="0.2">
      <c r="A112" s="18" t="s">
        <v>44</v>
      </c>
      <c r="B112" s="24">
        <v>2011</v>
      </c>
      <c r="C112" s="18" t="s">
        <v>38</v>
      </c>
      <c r="D112" s="20">
        <v>357</v>
      </c>
      <c r="E112" s="18" t="s">
        <v>19</v>
      </c>
      <c r="F112" s="179">
        <f>193.87+3604.55</f>
        <v>3798.42</v>
      </c>
      <c r="G112" s="131">
        <f>(F112)*$G$27</f>
        <v>51658.512000000002</v>
      </c>
      <c r="H112" s="106">
        <f>G112*(1+$G$9)*(1+$G$11)*(1+$G$16)</f>
        <v>53513.052580800002</v>
      </c>
      <c r="I112" s="19" t="s">
        <v>15</v>
      </c>
      <c r="J112" s="3"/>
      <c r="K112" s="17"/>
    </row>
    <row r="113" spans="1:26" ht="15" customHeight="1" x14ac:dyDescent="0.2">
      <c r="A113" s="18" t="s">
        <v>44</v>
      </c>
      <c r="B113" s="24">
        <v>2011</v>
      </c>
      <c r="C113" s="25" t="s">
        <v>30</v>
      </c>
      <c r="D113" s="26">
        <v>338</v>
      </c>
      <c r="E113" s="18" t="s">
        <v>31</v>
      </c>
      <c r="F113" s="179">
        <v>0</v>
      </c>
      <c r="G113" s="131"/>
      <c r="H113" s="106">
        <f>G113*(1+$G$9)*(1+$G$11)*(1+$G$16)</f>
        <v>0</v>
      </c>
      <c r="I113" s="19" t="s">
        <v>15</v>
      </c>
      <c r="J113" s="3"/>
      <c r="K113" s="4"/>
      <c r="L113" s="84"/>
      <c r="M113" s="5"/>
      <c r="N113" s="29"/>
      <c r="R113" s="5"/>
      <c r="S113" s="5"/>
      <c r="T113" s="5"/>
      <c r="U113" s="5"/>
      <c r="V113" s="5"/>
      <c r="W113" s="5"/>
      <c r="X113" s="5"/>
      <c r="Y113" s="5"/>
      <c r="Z113" s="30"/>
    </row>
    <row r="114" spans="1:26" ht="15" customHeight="1" x14ac:dyDescent="0.2">
      <c r="A114" s="232"/>
      <c r="B114" s="233"/>
      <c r="C114" s="234"/>
      <c r="D114" s="235"/>
      <c r="E114" s="232"/>
      <c r="F114" s="236"/>
      <c r="G114" s="237"/>
      <c r="H114" s="238">
        <f>H110+H111+H112</f>
        <v>480667.76770380005</v>
      </c>
      <c r="I114" s="19"/>
      <c r="J114" s="3" t="e">
        <f>H114-#REF!</f>
        <v>#REF!</v>
      </c>
      <c r="K114" s="4"/>
      <c r="L114" s="84"/>
      <c r="M114" s="5"/>
      <c r="N114" s="29"/>
      <c r="R114" s="5"/>
      <c r="S114" s="5"/>
      <c r="T114" s="5"/>
      <c r="U114" s="5"/>
      <c r="V114" s="5"/>
      <c r="W114" s="5"/>
      <c r="X114" s="5"/>
      <c r="Y114" s="5"/>
      <c r="Z114" s="30"/>
    </row>
    <row r="115" spans="1:26" ht="15" customHeight="1" x14ac:dyDescent="0.2">
      <c r="A115" s="18" t="s">
        <v>46</v>
      </c>
      <c r="B115" s="24">
        <v>2010</v>
      </c>
      <c r="C115" s="25" t="s">
        <v>16</v>
      </c>
      <c r="D115" s="26">
        <v>262</v>
      </c>
      <c r="E115" s="18" t="s">
        <v>17</v>
      </c>
      <c r="F115" s="179">
        <v>7905.51</v>
      </c>
      <c r="G115" s="131">
        <f>(F115)*$G$27</f>
        <v>107514.936</v>
      </c>
      <c r="H115" s="106">
        <f>G115*(1+$G$9)*(1+$G$11)*(1+$G$16)</f>
        <v>111374.72220240001</v>
      </c>
      <c r="I115" s="19" t="s">
        <v>15</v>
      </c>
      <c r="J115" s="3"/>
      <c r="K115" s="17"/>
    </row>
    <row r="116" spans="1:26" ht="15" customHeight="1" x14ac:dyDescent="0.2">
      <c r="A116" s="18" t="s">
        <v>46</v>
      </c>
      <c r="B116" s="24">
        <v>2010</v>
      </c>
      <c r="C116" s="25" t="s">
        <v>21</v>
      </c>
      <c r="D116" s="26">
        <v>263</v>
      </c>
      <c r="E116" s="18" t="s">
        <v>22</v>
      </c>
      <c r="F116" s="179"/>
      <c r="G116" s="131">
        <f>(F116)*$G$27</f>
        <v>0</v>
      </c>
      <c r="H116" s="106">
        <f>G116*(1+$G$9)*(1+$G$11)*(1+$G$16)</f>
        <v>0</v>
      </c>
      <c r="I116" s="19" t="s">
        <v>15</v>
      </c>
      <c r="J116" s="3"/>
      <c r="K116" s="17"/>
    </row>
    <row r="117" spans="1:26" ht="15" customHeight="1" x14ac:dyDescent="0.2">
      <c r="A117" s="18" t="s">
        <v>46</v>
      </c>
      <c r="B117" s="24">
        <v>2010</v>
      </c>
      <c r="C117" s="25" t="s">
        <v>34</v>
      </c>
      <c r="D117" s="26">
        <v>264</v>
      </c>
      <c r="E117" s="18" t="s">
        <v>45</v>
      </c>
      <c r="F117" s="179"/>
      <c r="G117" s="131">
        <f>(F117)*$G$27</f>
        <v>0</v>
      </c>
      <c r="H117" s="106">
        <f>G117*(1+$G$9)*(1+$G$11)*(1+$G$16)</f>
        <v>0</v>
      </c>
      <c r="I117" s="19" t="s">
        <v>15</v>
      </c>
      <c r="J117" s="3"/>
      <c r="K117" s="17"/>
    </row>
    <row r="118" spans="1:26" ht="15" customHeight="1" x14ac:dyDescent="0.2">
      <c r="A118" s="18" t="s">
        <v>46</v>
      </c>
      <c r="B118" s="24">
        <v>2010</v>
      </c>
      <c r="C118" s="25" t="s">
        <v>35</v>
      </c>
      <c r="D118" s="26">
        <v>265</v>
      </c>
      <c r="E118" s="18" t="s">
        <v>26</v>
      </c>
      <c r="F118" s="179"/>
      <c r="G118" s="131">
        <f>F118</f>
        <v>0</v>
      </c>
      <c r="H118" s="106">
        <f>G118*(1+$G$9)*(1+$G$11)*(1+$G$16)</f>
        <v>0</v>
      </c>
      <c r="I118" s="19" t="s">
        <v>15</v>
      </c>
      <c r="J118" s="3"/>
      <c r="K118" s="17"/>
    </row>
    <row r="119" spans="1:26" ht="15" customHeight="1" x14ac:dyDescent="0.2">
      <c r="A119" s="18" t="s">
        <v>46</v>
      </c>
      <c r="B119" s="24">
        <v>2010</v>
      </c>
      <c r="C119" s="18" t="s">
        <v>172</v>
      </c>
      <c r="D119" s="20">
        <v>266</v>
      </c>
      <c r="E119" s="18" t="s">
        <v>19</v>
      </c>
      <c r="F119" s="179">
        <f>7003.98/4-F120</f>
        <v>660.55</v>
      </c>
      <c r="G119" s="131">
        <f>(F119)*$G$27</f>
        <v>8983.48</v>
      </c>
      <c r="H119" s="106">
        <f>G119*(1+$G$9)*(1+$G$11)*(1+$G$16)</f>
        <v>9305.9869319999998</v>
      </c>
      <c r="I119" s="19" t="s">
        <v>15</v>
      </c>
      <c r="J119" s="3"/>
      <c r="K119" s="17"/>
    </row>
    <row r="120" spans="1:26" ht="15" customHeight="1" x14ac:dyDescent="0.2">
      <c r="A120" s="18" t="s">
        <v>46</v>
      </c>
      <c r="B120" s="24">
        <v>2010</v>
      </c>
      <c r="C120" s="18" t="s">
        <v>173</v>
      </c>
      <c r="D120" s="20">
        <v>266</v>
      </c>
      <c r="E120" s="18" t="s">
        <v>174</v>
      </c>
      <c r="F120" s="179">
        <f>4361.78/4</f>
        <v>1090.4449999999999</v>
      </c>
      <c r="G120" s="131">
        <f>(F120)*$G$27</f>
        <v>14830.051999999998</v>
      </c>
      <c r="H120" s="106">
        <f>(G120/G$26*H$26)*(1+$G$9)*(1+$G$11)*(1+$G$16)</f>
        <v>18621.152565818178</v>
      </c>
      <c r="I120" s="19" t="s">
        <v>15</v>
      </c>
      <c r="J120" s="3"/>
      <c r="K120" s="17"/>
    </row>
    <row r="121" spans="1:26" ht="15" customHeight="1" x14ac:dyDescent="0.2">
      <c r="A121" s="18" t="s">
        <v>46</v>
      </c>
      <c r="B121" s="24">
        <v>2010</v>
      </c>
      <c r="C121" s="25" t="s">
        <v>143</v>
      </c>
      <c r="D121" s="26">
        <v>8910</v>
      </c>
      <c r="E121" s="18" t="s">
        <v>14</v>
      </c>
      <c r="F121" s="179"/>
      <c r="G121" s="131">
        <f>(F121)*$G$27</f>
        <v>0</v>
      </c>
      <c r="H121" s="106">
        <f>G121*(1+$G$9)*(1+$G$11)*(1+$G$16)</f>
        <v>0</v>
      </c>
      <c r="I121" s="19" t="s">
        <v>15</v>
      </c>
      <c r="J121" s="3"/>
      <c r="K121" s="17"/>
    </row>
    <row r="122" spans="1:26" ht="15" customHeight="1" x14ac:dyDescent="0.2">
      <c r="A122" s="18" t="s">
        <v>46</v>
      </c>
      <c r="B122" s="24">
        <v>2010</v>
      </c>
      <c r="C122" s="25" t="s">
        <v>144</v>
      </c>
      <c r="D122" s="26">
        <v>9118</v>
      </c>
      <c r="E122" s="18" t="s">
        <v>14</v>
      </c>
      <c r="F122" s="179"/>
      <c r="G122" s="131">
        <f>(F122)*$G$27</f>
        <v>0</v>
      </c>
      <c r="H122" s="106">
        <f>G122*(1+$G$9)*(1+$G$11)*(1+$G$16)</f>
        <v>0</v>
      </c>
      <c r="I122" s="19" t="s">
        <v>15</v>
      </c>
      <c r="J122" s="3"/>
      <c r="K122" s="4"/>
      <c r="L122" s="84"/>
      <c r="M122" s="5"/>
      <c r="N122" s="29"/>
      <c r="R122" s="5"/>
      <c r="S122" s="5"/>
      <c r="T122" s="5"/>
      <c r="U122" s="5"/>
      <c r="V122" s="5"/>
      <c r="W122" s="5"/>
      <c r="X122" s="5"/>
      <c r="Y122" s="5"/>
      <c r="Z122" s="30"/>
    </row>
    <row r="123" spans="1:26" ht="15" customHeight="1" x14ac:dyDescent="0.2">
      <c r="A123" s="18"/>
      <c r="B123" s="24"/>
      <c r="C123" s="25"/>
      <c r="D123" s="26"/>
      <c r="E123" s="18"/>
      <c r="F123" s="179"/>
      <c r="G123" s="131"/>
      <c r="H123" s="106">
        <f>SUM(H115:H122)</f>
        <v>139301.86170021817</v>
      </c>
      <c r="I123" s="19"/>
      <c r="J123" s="3"/>
      <c r="K123" s="4"/>
      <c r="L123" s="84"/>
      <c r="M123" s="5"/>
      <c r="N123" s="29"/>
      <c r="R123" s="5"/>
      <c r="S123" s="5"/>
      <c r="T123" s="5"/>
      <c r="U123" s="5"/>
      <c r="V123" s="5"/>
      <c r="W123" s="5"/>
      <c r="X123" s="5"/>
      <c r="Y123" s="5"/>
      <c r="Z123" s="30"/>
    </row>
    <row r="124" spans="1:26" ht="15" customHeight="1" x14ac:dyDescent="0.2">
      <c r="A124" s="18" t="s">
        <v>46</v>
      </c>
      <c r="B124" s="24">
        <v>2010</v>
      </c>
      <c r="C124" s="25" t="s">
        <v>28</v>
      </c>
      <c r="D124" s="26">
        <v>271</v>
      </c>
      <c r="E124" s="18" t="s">
        <v>29</v>
      </c>
      <c r="F124" s="179">
        <f xml:space="preserve">   898.14 /4</f>
        <v>224.535</v>
      </c>
      <c r="G124" s="131">
        <f>(F124*1.1)*$E$27</f>
        <v>2963.8620000000001</v>
      </c>
      <c r="H124" s="106">
        <f>G124*(1+$G$9)*(1+$G$11)*(1+$G$16)</f>
        <v>3070.2646458000004</v>
      </c>
      <c r="I124" s="19" t="s">
        <v>15</v>
      </c>
      <c r="J124" s="3"/>
      <c r="K124" s="17"/>
    </row>
    <row r="125" spans="1:26" ht="15" customHeight="1" x14ac:dyDescent="0.2">
      <c r="A125" s="18" t="s">
        <v>46</v>
      </c>
      <c r="B125" s="24">
        <v>2010</v>
      </c>
      <c r="C125" s="18" t="s">
        <v>18</v>
      </c>
      <c r="D125" s="20">
        <v>270</v>
      </c>
      <c r="E125" s="18" t="s">
        <v>19</v>
      </c>
      <c r="F125" s="179">
        <v>673.16</v>
      </c>
      <c r="G125" s="131">
        <f>(F125)*$G$27</f>
        <v>9154.9759999999987</v>
      </c>
      <c r="H125" s="106">
        <f>G125*(1+$G$9)*(1+$G$11)*(1+$G$16)</f>
        <v>9483.6396384</v>
      </c>
      <c r="I125" s="19" t="s">
        <v>15</v>
      </c>
      <c r="J125" s="3"/>
      <c r="K125" s="17"/>
    </row>
    <row r="126" spans="1:26" ht="15" customHeight="1" x14ac:dyDescent="0.2">
      <c r="A126" s="18" t="s">
        <v>46</v>
      </c>
      <c r="B126" s="24">
        <v>2010</v>
      </c>
      <c r="C126" s="25" t="s">
        <v>30</v>
      </c>
      <c r="D126" s="26">
        <v>267</v>
      </c>
      <c r="E126" s="18" t="s">
        <v>31</v>
      </c>
      <c r="F126" s="179"/>
      <c r="G126" s="131"/>
      <c r="H126" s="106">
        <f>G126*(1+$G$9)*(1+$G$11)*(1+$G$16)</f>
        <v>0</v>
      </c>
      <c r="I126" s="19" t="s">
        <v>15</v>
      </c>
      <c r="J126" s="3"/>
      <c r="K126" s="4"/>
      <c r="L126" s="84"/>
      <c r="M126" s="5"/>
      <c r="N126" s="29"/>
      <c r="R126" s="5"/>
      <c r="S126" s="5"/>
      <c r="T126" s="5"/>
      <c r="U126" s="5"/>
      <c r="V126" s="5"/>
      <c r="W126" s="5"/>
      <c r="X126" s="5"/>
      <c r="Y126" s="5"/>
      <c r="Z126" s="30"/>
    </row>
    <row r="127" spans="1:26" ht="15" customHeight="1" x14ac:dyDescent="0.2">
      <c r="A127" s="232"/>
      <c r="B127" s="233"/>
      <c r="C127" s="234"/>
      <c r="D127" s="235"/>
      <c r="E127" s="232"/>
      <c r="F127" s="236"/>
      <c r="G127" s="237"/>
      <c r="H127" s="238">
        <f>H123+H124+H125</f>
        <v>151855.76598441816</v>
      </c>
      <c r="I127" s="239"/>
      <c r="J127" s="3"/>
      <c r="K127" s="4"/>
      <c r="L127" s="84"/>
      <c r="M127" s="5"/>
      <c r="N127" s="29"/>
      <c r="R127" s="5"/>
      <c r="S127" s="5"/>
      <c r="T127" s="5"/>
      <c r="U127" s="5"/>
      <c r="V127" s="5"/>
      <c r="W127" s="5"/>
      <c r="X127" s="5"/>
      <c r="Y127" s="5"/>
      <c r="Z127" s="30"/>
    </row>
    <row r="128" spans="1:26" ht="15" customHeight="1" x14ac:dyDescent="0.2">
      <c r="A128" s="111"/>
      <c r="B128" s="111"/>
      <c r="C128" s="118"/>
      <c r="D128" s="119"/>
      <c r="E128" s="111"/>
      <c r="F128" s="180">
        <f>SUM(F102:F126)</f>
        <v>44209.725000000013</v>
      </c>
      <c r="G128" s="123">
        <f>SUM(G102:G126)</f>
        <v>600486.022</v>
      </c>
      <c r="H128" s="123">
        <f>H127+H114</f>
        <v>632523.53368821822</v>
      </c>
      <c r="I128" s="18"/>
      <c r="J128" s="3"/>
      <c r="K128" s="17"/>
    </row>
    <row r="129" spans="1:26" ht="15" customHeight="1" x14ac:dyDescent="0.2">
      <c r="A129" s="24" t="s">
        <v>47</v>
      </c>
      <c r="B129" s="24">
        <v>2012</v>
      </c>
      <c r="C129" s="25" t="s">
        <v>16</v>
      </c>
      <c r="D129" s="26">
        <v>405</v>
      </c>
      <c r="E129" s="18" t="s">
        <v>17</v>
      </c>
      <c r="F129" s="179">
        <f>266476.14-1307.61-219.43-1028.6-23506.9</f>
        <v>240413.60000000006</v>
      </c>
      <c r="G129" s="131">
        <f>(F129)*$G$27</f>
        <v>3269624.9600000009</v>
      </c>
      <c r="H129" s="106">
        <f>G129*(1+$G$9)*(1+$G$11)*(1+$G$16)</f>
        <v>3387004.4960640012</v>
      </c>
      <c r="I129" s="19" t="s">
        <v>15</v>
      </c>
      <c r="J129" s="3"/>
      <c r="K129" s="17"/>
    </row>
    <row r="130" spans="1:26" ht="15" customHeight="1" x14ac:dyDescent="0.2">
      <c r="A130" s="24" t="s">
        <v>47</v>
      </c>
      <c r="B130" s="24">
        <v>2012</v>
      </c>
      <c r="C130" s="25" t="s">
        <v>48</v>
      </c>
      <c r="D130" s="26">
        <v>406</v>
      </c>
      <c r="E130" s="18" t="s">
        <v>49</v>
      </c>
      <c r="F130" s="179">
        <v>23506.9</v>
      </c>
      <c r="G130" s="131">
        <f>(F130)*$G$27</f>
        <v>319693.84000000003</v>
      </c>
      <c r="H130" s="106">
        <f>G130*(1+$G$9)*(1+$G$11)*(1+$G$16)</f>
        <v>331170.84885600006</v>
      </c>
      <c r="I130" s="19" t="s">
        <v>15</v>
      </c>
      <c r="J130" s="3"/>
      <c r="K130" s="17"/>
    </row>
    <row r="131" spans="1:26" ht="15" customHeight="1" x14ac:dyDescent="0.2">
      <c r="A131" s="24" t="s">
        <v>47</v>
      </c>
      <c r="B131" s="24">
        <v>2012</v>
      </c>
      <c r="C131" s="25" t="s">
        <v>25</v>
      </c>
      <c r="D131" s="26">
        <v>408</v>
      </c>
      <c r="E131" s="18" t="s">
        <v>26</v>
      </c>
      <c r="F131" s="179"/>
      <c r="G131" s="131">
        <f>F131</f>
        <v>0</v>
      </c>
      <c r="H131" s="106">
        <f>G131*(1+$G$9)*(1+$G$11)*(1+$G$16)</f>
        <v>0</v>
      </c>
      <c r="I131" s="19" t="s">
        <v>15</v>
      </c>
      <c r="J131" s="3"/>
      <c r="K131" s="17"/>
    </row>
    <row r="132" spans="1:26" ht="15" customHeight="1" x14ac:dyDescent="0.2">
      <c r="A132" s="24" t="s">
        <v>47</v>
      </c>
      <c r="B132" s="24">
        <v>2012</v>
      </c>
      <c r="C132" s="18" t="s">
        <v>172</v>
      </c>
      <c r="D132" s="20">
        <v>409</v>
      </c>
      <c r="E132" s="18" t="s">
        <v>19</v>
      </c>
      <c r="F132" s="179">
        <f>418174.41/4-F133</f>
        <v>39438.352499999994</v>
      </c>
      <c r="G132" s="131">
        <f>(F132)*$G$27</f>
        <v>536361.59399999992</v>
      </c>
      <c r="H132" s="106">
        <f>G132*(1+$G$9)*(1+$G$11)*(1+$G$16)</f>
        <v>555616.97522459994</v>
      </c>
      <c r="I132" s="19" t="s">
        <v>15</v>
      </c>
      <c r="J132" s="3"/>
      <c r="K132" s="17"/>
    </row>
    <row r="133" spans="1:26" ht="15" customHeight="1" x14ac:dyDescent="0.2">
      <c r="A133" s="24" t="s">
        <v>47</v>
      </c>
      <c r="B133" s="24">
        <v>2012</v>
      </c>
      <c r="C133" s="18" t="s">
        <v>173</v>
      </c>
      <c r="D133" s="20">
        <v>409</v>
      </c>
      <c r="E133" s="18" t="s">
        <v>174</v>
      </c>
      <c r="F133" s="179">
        <f>260421/4</f>
        <v>65105.25</v>
      </c>
      <c r="G133" s="131">
        <f>(F133)*$G$27</f>
        <v>885431.4</v>
      </c>
      <c r="H133" s="106">
        <f>(G133/G$26*H$26)*(1+$G$9)*(1+$G$11)*(1+$G$16)</f>
        <v>1111779.8633454547</v>
      </c>
      <c r="I133" s="19" t="s">
        <v>15</v>
      </c>
      <c r="J133" s="3"/>
      <c r="K133" s="17"/>
    </row>
    <row r="134" spans="1:26" ht="15" customHeight="1" x14ac:dyDescent="0.2">
      <c r="A134" s="24" t="s">
        <v>47</v>
      </c>
      <c r="B134" s="24">
        <v>2012</v>
      </c>
      <c r="C134" s="25" t="s">
        <v>42</v>
      </c>
      <c r="D134" s="26">
        <v>407</v>
      </c>
      <c r="E134" s="18" t="s">
        <v>43</v>
      </c>
      <c r="F134" s="179"/>
      <c r="G134" s="131">
        <f>(F134)*$G$27</f>
        <v>0</v>
      </c>
      <c r="H134" s="106">
        <f>G134*(1+$G$9)*(1+$G$11)*(1+$G$16)</f>
        <v>0</v>
      </c>
      <c r="I134" s="19" t="s">
        <v>15</v>
      </c>
      <c r="J134" s="3"/>
      <c r="K134" s="17"/>
    </row>
    <row r="135" spans="1:26" ht="15" customHeight="1" x14ac:dyDescent="0.2">
      <c r="A135" s="24" t="s">
        <v>47</v>
      </c>
      <c r="B135" s="24">
        <v>2012</v>
      </c>
      <c r="C135" s="25" t="s">
        <v>143</v>
      </c>
      <c r="D135" s="26">
        <v>8911</v>
      </c>
      <c r="E135" s="18" t="s">
        <v>14</v>
      </c>
      <c r="F135" s="179"/>
      <c r="G135" s="131">
        <f>(F135)*$G$27</f>
        <v>0</v>
      </c>
      <c r="H135" s="106">
        <f>G135*(1+$G$9)*(1+$G$11)*(1+$G$16)</f>
        <v>0</v>
      </c>
      <c r="I135" s="19" t="s">
        <v>15</v>
      </c>
      <c r="J135" s="3"/>
      <c r="K135" s="17"/>
    </row>
    <row r="136" spans="1:26" ht="15" customHeight="1" x14ac:dyDescent="0.2">
      <c r="A136" s="24" t="s">
        <v>47</v>
      </c>
      <c r="B136" s="24">
        <v>2012</v>
      </c>
      <c r="C136" s="25" t="s">
        <v>144</v>
      </c>
      <c r="D136" s="26">
        <v>9119</v>
      </c>
      <c r="E136" s="18" t="s">
        <v>14</v>
      </c>
      <c r="F136" s="179">
        <v>8633.17</v>
      </c>
      <c r="G136" s="131">
        <f>(F136)*$I$27</f>
        <v>103598.04000000001</v>
      </c>
      <c r="H136" s="106">
        <f>G136*(1+$G$9)*(1+$G$11)*(1+$G$16)</f>
        <v>107317.20963600001</v>
      </c>
      <c r="I136" s="19" t="s">
        <v>15</v>
      </c>
      <c r="J136" s="3"/>
      <c r="K136" s="4">
        <v>288304.98365519999</v>
      </c>
      <c r="L136" s="84">
        <v>298655.13256842166</v>
      </c>
      <c r="M136" s="5">
        <v>309376.85182762798</v>
      </c>
      <c r="N136" s="29">
        <v>320483.48080823984</v>
      </c>
      <c r="R136" s="5"/>
      <c r="S136" s="5"/>
      <c r="T136" s="5"/>
      <c r="U136" s="5"/>
      <c r="V136" s="5"/>
      <c r="W136" s="5"/>
      <c r="X136" s="5"/>
      <c r="Y136" s="5"/>
      <c r="Z136" s="30"/>
    </row>
    <row r="137" spans="1:26" ht="15" customHeight="1" x14ac:dyDescent="0.2">
      <c r="A137" s="24"/>
      <c r="B137" s="24"/>
      <c r="C137" s="25"/>
      <c r="D137" s="26"/>
      <c r="E137" s="18"/>
      <c r="F137" s="179"/>
      <c r="G137" s="131"/>
      <c r="H137" s="106">
        <f>SUM(H129:H136)</f>
        <v>5492889.3931260556</v>
      </c>
      <c r="I137" s="19"/>
      <c r="J137" s="3"/>
      <c r="K137" s="4">
        <v>5492889.3931260556</v>
      </c>
      <c r="L137" s="84">
        <v>5966616.4276717408</v>
      </c>
      <c r="M137" s="5">
        <v>6418041.4434471251</v>
      </c>
      <c r="N137" s="29">
        <v>6545724.9182174848</v>
      </c>
      <c r="R137" s="5"/>
      <c r="S137" s="5"/>
      <c r="T137" s="5"/>
      <c r="U137" s="5"/>
      <c r="V137" s="5"/>
      <c r="W137" s="5"/>
      <c r="X137" s="5"/>
      <c r="Y137" s="5"/>
      <c r="Z137" s="30"/>
    </row>
    <row r="138" spans="1:26" ht="15" customHeight="1" x14ac:dyDescent="0.2">
      <c r="A138" s="24" t="s">
        <v>47</v>
      </c>
      <c r="B138" s="24">
        <v>2012</v>
      </c>
      <c r="C138" s="25" t="s">
        <v>28</v>
      </c>
      <c r="D138" s="26">
        <v>440</v>
      </c>
      <c r="E138" s="18" t="s">
        <v>29</v>
      </c>
      <c r="F138" s="179">
        <v>24249.78</v>
      </c>
      <c r="G138" s="131">
        <f>(F138*1.1)*$E$27</f>
        <v>320097.09600000002</v>
      </c>
      <c r="H138" s="106">
        <f>G138*(1+$G$9)*(1+$G$11)*(1+$G$16)</f>
        <v>331588.58174640004</v>
      </c>
      <c r="I138" s="19" t="s">
        <v>15</v>
      </c>
      <c r="J138" s="3"/>
      <c r="K138" s="17">
        <f>SUM(K136:K137)</f>
        <v>5781194.3767812559</v>
      </c>
      <c r="L138" s="17">
        <f t="shared" ref="L138:N138" si="4">SUM(L136:L137)</f>
        <v>6265271.5602401625</v>
      </c>
      <c r="M138" s="17">
        <f t="shared" si="4"/>
        <v>6727418.2952747531</v>
      </c>
      <c r="N138" s="17">
        <f t="shared" si="4"/>
        <v>6866208.3990257243</v>
      </c>
    </row>
    <row r="139" spans="1:26" ht="15" customHeight="1" x14ac:dyDescent="0.2">
      <c r="A139" s="24" t="s">
        <v>47</v>
      </c>
      <c r="B139" s="24">
        <v>2012</v>
      </c>
      <c r="C139" s="18" t="s">
        <v>38</v>
      </c>
      <c r="D139" s="20">
        <v>439</v>
      </c>
      <c r="E139" s="18" t="s">
        <v>19</v>
      </c>
      <c r="F139" s="179">
        <f>748.2+2958.68</f>
        <v>3706.88</v>
      </c>
      <c r="G139" s="131">
        <f>(F139)*$G$27</f>
        <v>50413.567999999999</v>
      </c>
      <c r="H139" s="106">
        <f>G139*(1+$G$9)*(1+$G$11)*(1+$G$16)</f>
        <v>52223.415091200004</v>
      </c>
      <c r="I139" s="19" t="s">
        <v>15</v>
      </c>
      <c r="J139" s="3"/>
      <c r="K139" s="17"/>
    </row>
    <row r="140" spans="1:26" ht="15" customHeight="1" x14ac:dyDescent="0.2">
      <c r="A140" s="24" t="s">
        <v>47</v>
      </c>
      <c r="B140" s="24">
        <v>2012</v>
      </c>
      <c r="C140" s="25" t="s">
        <v>30</v>
      </c>
      <c r="D140" s="26">
        <v>410</v>
      </c>
      <c r="E140" s="18" t="s">
        <v>31</v>
      </c>
      <c r="F140" s="179">
        <v>0</v>
      </c>
      <c r="G140" s="131"/>
      <c r="H140" s="106">
        <f>G140*(1+$G$9)*(1+$G$11)*(1+$G$16)</f>
        <v>0</v>
      </c>
      <c r="I140" s="19" t="s">
        <v>15</v>
      </c>
      <c r="J140" s="3"/>
      <c r="K140" s="4"/>
      <c r="L140" s="84"/>
      <c r="M140" s="5"/>
      <c r="N140" s="29"/>
      <c r="R140" s="5"/>
      <c r="S140" s="5"/>
      <c r="T140" s="5"/>
      <c r="U140" s="5"/>
      <c r="V140" s="5"/>
      <c r="W140" s="5"/>
      <c r="X140" s="5"/>
      <c r="Y140" s="5"/>
      <c r="Z140" s="30"/>
    </row>
    <row r="141" spans="1:26" ht="15" customHeight="1" x14ac:dyDescent="0.2">
      <c r="A141" s="112"/>
      <c r="B141" s="112"/>
      <c r="C141" s="113"/>
      <c r="D141" s="114"/>
      <c r="E141" s="111"/>
      <c r="F141" s="180">
        <f>SUM(F129:F140)</f>
        <v>405053.9325</v>
      </c>
      <c r="G141" s="123">
        <f>SUM(G129:G140)</f>
        <v>5485220.4980000006</v>
      </c>
      <c r="H141" s="123">
        <f>H137+H138+H139</f>
        <v>5876701.3899636557</v>
      </c>
      <c r="I141" s="19"/>
      <c r="J141" s="3" t="e">
        <f>H141-#REF!</f>
        <v>#REF!</v>
      </c>
      <c r="K141" s="17"/>
    </row>
    <row r="142" spans="1:26" ht="15" customHeight="1" x14ac:dyDescent="0.2">
      <c r="A142" s="18" t="s">
        <v>50</v>
      </c>
      <c r="B142" s="24" t="s">
        <v>51</v>
      </c>
      <c r="C142" s="25" t="s">
        <v>52</v>
      </c>
      <c r="D142" s="26">
        <v>590</v>
      </c>
      <c r="E142" s="18" t="s">
        <v>43</v>
      </c>
      <c r="F142" s="179"/>
      <c r="G142" s="131">
        <f>(F142)*$G$27</f>
        <v>0</v>
      </c>
      <c r="H142" s="106">
        <f t="shared" ref="H142:H147" si="5">G142*(1+$G$9)*(1+$G$11)*(1+$G$16)</f>
        <v>0</v>
      </c>
      <c r="I142" s="19" t="s">
        <v>53</v>
      </c>
      <c r="J142" s="3"/>
      <c r="K142" s="17"/>
    </row>
    <row r="143" spans="1:26" ht="15" customHeight="1" x14ac:dyDescent="0.2">
      <c r="A143" s="18" t="s">
        <v>50</v>
      </c>
      <c r="B143" s="24" t="s">
        <v>51</v>
      </c>
      <c r="C143" s="25" t="s">
        <v>16</v>
      </c>
      <c r="D143" s="26">
        <v>594</v>
      </c>
      <c r="E143" s="18" t="s">
        <v>17</v>
      </c>
      <c r="F143" s="179">
        <f>663448.31-695.02</f>
        <v>662753.29</v>
      </c>
      <c r="G143" s="131">
        <f>(F143)*$G$27</f>
        <v>9013444.7440000009</v>
      </c>
      <c r="H143" s="106">
        <f t="shared" si="5"/>
        <v>9337027.4103096016</v>
      </c>
      <c r="I143" s="19" t="s">
        <v>53</v>
      </c>
      <c r="J143" s="4"/>
      <c r="K143" s="17"/>
    </row>
    <row r="144" spans="1:26" ht="15" customHeight="1" x14ac:dyDescent="0.2">
      <c r="A144" s="18" t="s">
        <v>50</v>
      </c>
      <c r="B144" s="24" t="s">
        <v>51</v>
      </c>
      <c r="C144" s="25" t="s">
        <v>21</v>
      </c>
      <c r="D144" s="26">
        <v>595</v>
      </c>
      <c r="E144" s="18"/>
      <c r="F144" s="179"/>
      <c r="G144" s="131">
        <f>(F144)*$G$27</f>
        <v>0</v>
      </c>
      <c r="H144" s="106">
        <f t="shared" si="5"/>
        <v>0</v>
      </c>
      <c r="I144" s="19" t="s">
        <v>53</v>
      </c>
      <c r="J144" s="3"/>
      <c r="K144" s="17"/>
    </row>
    <row r="145" spans="1:26" ht="15" customHeight="1" x14ac:dyDescent="0.2">
      <c r="A145" s="18" t="s">
        <v>50</v>
      </c>
      <c r="B145" s="24" t="s">
        <v>51</v>
      </c>
      <c r="C145" s="25" t="s">
        <v>54</v>
      </c>
      <c r="D145" s="26">
        <v>596</v>
      </c>
      <c r="E145" s="18" t="s">
        <v>55</v>
      </c>
      <c r="F145" s="179"/>
      <c r="G145" s="131">
        <f>(F145)*$G$27</f>
        <v>0</v>
      </c>
      <c r="H145" s="106">
        <f t="shared" si="5"/>
        <v>0</v>
      </c>
      <c r="I145" s="19" t="s">
        <v>53</v>
      </c>
      <c r="J145" s="3"/>
      <c r="K145" s="17"/>
    </row>
    <row r="146" spans="1:26" ht="15" customHeight="1" x14ac:dyDescent="0.2">
      <c r="A146" s="18" t="s">
        <v>50</v>
      </c>
      <c r="B146" s="24" t="s">
        <v>51</v>
      </c>
      <c r="C146" s="25" t="s">
        <v>35</v>
      </c>
      <c r="D146" s="26">
        <v>598</v>
      </c>
      <c r="E146" s="18" t="s">
        <v>26</v>
      </c>
      <c r="F146" s="179"/>
      <c r="G146" s="131">
        <f>F146</f>
        <v>0</v>
      </c>
      <c r="H146" s="106">
        <f t="shared" si="5"/>
        <v>0</v>
      </c>
      <c r="I146" s="19" t="s">
        <v>53</v>
      </c>
      <c r="J146" s="3"/>
      <c r="K146" s="17"/>
    </row>
    <row r="147" spans="1:26" ht="15" customHeight="1" x14ac:dyDescent="0.2">
      <c r="A147" s="18" t="s">
        <v>50</v>
      </c>
      <c r="B147" s="24" t="s">
        <v>51</v>
      </c>
      <c r="C147" s="18" t="s">
        <v>172</v>
      </c>
      <c r="D147" s="20">
        <v>601</v>
      </c>
      <c r="E147" s="18" t="s">
        <v>19</v>
      </c>
      <c r="F147" s="179">
        <f>1160304.48/4-F148</f>
        <v>109428.85499999998</v>
      </c>
      <c r="G147" s="131">
        <f>(F147)*$G$27</f>
        <v>1488232.4279999996</v>
      </c>
      <c r="H147" s="106">
        <f t="shared" si="5"/>
        <v>1541659.9721651997</v>
      </c>
      <c r="I147" s="19" t="s">
        <v>53</v>
      </c>
      <c r="J147" s="3"/>
      <c r="K147" s="17"/>
    </row>
    <row r="148" spans="1:26" ht="15" customHeight="1" x14ac:dyDescent="0.2">
      <c r="A148" s="18" t="s">
        <v>50</v>
      </c>
      <c r="B148" s="24" t="s">
        <v>51</v>
      </c>
      <c r="C148" s="18" t="s">
        <v>173</v>
      </c>
      <c r="D148" s="20">
        <v>601</v>
      </c>
      <c r="E148" s="18" t="s">
        <v>174</v>
      </c>
      <c r="F148" s="179">
        <f>722589.06/4</f>
        <v>180647.26500000001</v>
      </c>
      <c r="G148" s="131">
        <f>(F148)*$G$27</f>
        <v>2456802.804</v>
      </c>
      <c r="H148" s="106">
        <f>(G148/G$26*H$26)*(1+$G$9)*(1+$G$11)*(1+$G$16)</f>
        <v>3084850.9389861822</v>
      </c>
      <c r="I148" s="19" t="s">
        <v>53</v>
      </c>
      <c r="J148" s="3"/>
      <c r="K148" s="17"/>
    </row>
    <row r="149" spans="1:26" ht="15" customHeight="1" x14ac:dyDescent="0.2">
      <c r="A149" s="18" t="s">
        <v>50</v>
      </c>
      <c r="B149" s="24" t="s">
        <v>51</v>
      </c>
      <c r="C149" s="18" t="s">
        <v>27</v>
      </c>
      <c r="D149" s="20">
        <v>599</v>
      </c>
      <c r="E149" s="18" t="s">
        <v>19</v>
      </c>
      <c r="F149" s="179"/>
      <c r="G149" s="131">
        <f>(F149)*$G$27</f>
        <v>0</v>
      </c>
      <c r="H149" s="106">
        <f>G149*(1+$G$9)*(1+$G$11)*(1+$G$16)</f>
        <v>0</v>
      </c>
      <c r="I149" s="19" t="s">
        <v>56</v>
      </c>
      <c r="J149" s="3"/>
      <c r="K149" s="17"/>
    </row>
    <row r="150" spans="1:26" ht="15" customHeight="1" x14ac:dyDescent="0.2">
      <c r="A150" s="18" t="s">
        <v>50</v>
      </c>
      <c r="B150" s="24" t="s">
        <v>51</v>
      </c>
      <c r="C150" s="25" t="s">
        <v>143</v>
      </c>
      <c r="D150" s="26">
        <v>8912</v>
      </c>
      <c r="E150" s="18" t="s">
        <v>14</v>
      </c>
      <c r="F150" s="179"/>
      <c r="G150" s="131">
        <f>(F150)*$G$27</f>
        <v>0</v>
      </c>
      <c r="H150" s="106">
        <f>G150*(1+$G$9)*(1+$G$11)*(1+$G$16)</f>
        <v>0</v>
      </c>
      <c r="I150" s="19" t="s">
        <v>53</v>
      </c>
      <c r="J150" s="3"/>
      <c r="K150" s="17"/>
    </row>
    <row r="151" spans="1:26" ht="15" customHeight="1" x14ac:dyDescent="0.2">
      <c r="A151" s="18" t="s">
        <v>50</v>
      </c>
      <c r="B151" s="24" t="s">
        <v>51</v>
      </c>
      <c r="C151" s="25" t="s">
        <v>144</v>
      </c>
      <c r="D151" s="26">
        <v>9120</v>
      </c>
      <c r="E151" s="18" t="s">
        <v>14</v>
      </c>
      <c r="F151" s="179">
        <v>14318.77</v>
      </c>
      <c r="G151" s="131">
        <f>(F151)*$I$27</f>
        <v>171825.24</v>
      </c>
      <c r="H151" s="106">
        <f>G151*(1+$G$9)*(1+$G$11)*(1+$G$16)</f>
        <v>177993.76611599998</v>
      </c>
      <c r="I151" s="19" t="s">
        <v>53</v>
      </c>
      <c r="J151" s="3"/>
      <c r="R151" s="5"/>
      <c r="S151" s="5"/>
      <c r="T151" s="5"/>
      <c r="U151" s="5"/>
      <c r="V151" s="5"/>
      <c r="W151" s="5"/>
      <c r="X151" s="5"/>
      <c r="Y151" s="5"/>
      <c r="Z151" s="30"/>
    </row>
    <row r="152" spans="1:26" ht="15" customHeight="1" x14ac:dyDescent="0.2">
      <c r="A152" s="18"/>
      <c r="B152" s="24"/>
      <c r="C152" s="25"/>
      <c r="D152" s="26"/>
      <c r="E152" s="18"/>
      <c r="F152" s="179"/>
      <c r="G152" s="131"/>
      <c r="H152" s="106">
        <f>SUM(H143:H151)</f>
        <v>14141532.087576983</v>
      </c>
      <c r="I152" s="21">
        <f>SUM(H152:H152)</f>
        <v>14141532.087576983</v>
      </c>
      <c r="J152" s="3"/>
      <c r="K152" s="4"/>
      <c r="L152" s="84"/>
      <c r="M152" s="5"/>
      <c r="N152" s="29"/>
      <c r="R152" s="5"/>
      <c r="S152" s="5"/>
      <c r="T152" s="5"/>
      <c r="U152" s="5"/>
      <c r="V152" s="5"/>
      <c r="W152" s="5"/>
      <c r="X152" s="5"/>
      <c r="Y152" s="5"/>
      <c r="Z152" s="30"/>
    </row>
    <row r="153" spans="1:26" ht="15" customHeight="1" x14ac:dyDescent="0.2">
      <c r="A153" s="18" t="s">
        <v>50</v>
      </c>
      <c r="B153" s="24" t="s">
        <v>51</v>
      </c>
      <c r="C153" s="25" t="s">
        <v>28</v>
      </c>
      <c r="D153" s="26">
        <v>587</v>
      </c>
      <c r="E153" s="18" t="s">
        <v>29</v>
      </c>
      <c r="F153" s="179">
        <v>42212.58</v>
      </c>
      <c r="G153" s="131">
        <f>(F153*1.1)*$E$27</f>
        <v>557206.0560000001</v>
      </c>
      <c r="H153" s="106">
        <f t="shared" ref="H153:H165" si="6">G153*(1+$G$9)*(1+$G$11)*(1+$G$16)</f>
        <v>577209.75341040012</v>
      </c>
      <c r="I153" s="19" t="s">
        <v>53</v>
      </c>
      <c r="J153" s="3"/>
      <c r="K153" s="17"/>
      <c r="L153" s="17"/>
      <c r="M153" s="17"/>
      <c r="N153" s="17"/>
    </row>
    <row r="154" spans="1:26" ht="15" customHeight="1" x14ac:dyDescent="0.2">
      <c r="A154" s="18" t="s">
        <v>50</v>
      </c>
      <c r="B154" s="24" t="s">
        <v>51</v>
      </c>
      <c r="C154" s="18" t="s">
        <v>38</v>
      </c>
      <c r="D154" s="20">
        <v>582</v>
      </c>
      <c r="E154" s="18" t="s">
        <v>19</v>
      </c>
      <c r="F154" s="179"/>
      <c r="G154" s="131">
        <f>(F154)*$G$27</f>
        <v>0</v>
      </c>
      <c r="H154" s="106">
        <f t="shared" si="6"/>
        <v>0</v>
      </c>
      <c r="I154" s="19" t="s">
        <v>53</v>
      </c>
      <c r="J154" s="3"/>
      <c r="K154" s="17"/>
    </row>
    <row r="155" spans="1:26" ht="15" customHeight="1" x14ac:dyDescent="0.2">
      <c r="A155" s="18" t="s">
        <v>50</v>
      </c>
      <c r="B155" s="24" t="s">
        <v>51</v>
      </c>
      <c r="C155" s="25" t="s">
        <v>30</v>
      </c>
      <c r="D155" s="26">
        <v>602</v>
      </c>
      <c r="E155" s="18" t="s">
        <v>31</v>
      </c>
      <c r="F155" s="179"/>
      <c r="G155" s="131"/>
      <c r="H155" s="106">
        <f t="shared" si="6"/>
        <v>0</v>
      </c>
      <c r="I155" s="19" t="s">
        <v>53</v>
      </c>
      <c r="J155" s="3"/>
      <c r="K155" s="4"/>
      <c r="L155" s="84"/>
      <c r="M155" s="5"/>
      <c r="N155" s="29"/>
      <c r="R155" s="5"/>
      <c r="S155" s="5"/>
      <c r="T155" s="5"/>
      <c r="U155" s="5"/>
      <c r="V155" s="5"/>
      <c r="W155" s="5"/>
      <c r="X155" s="5"/>
      <c r="Y155" s="5"/>
      <c r="Z155" s="30"/>
    </row>
    <row r="156" spans="1:26" ht="15" customHeight="1" x14ac:dyDescent="0.2">
      <c r="A156" s="18" t="s">
        <v>50</v>
      </c>
      <c r="B156" s="24" t="s">
        <v>51</v>
      </c>
      <c r="C156" s="25" t="s">
        <v>52</v>
      </c>
      <c r="D156" s="26">
        <v>7551</v>
      </c>
      <c r="E156" s="18" t="s">
        <v>43</v>
      </c>
      <c r="F156" s="179"/>
      <c r="G156" s="131">
        <f>(F156)*$G$27</f>
        <v>0</v>
      </c>
      <c r="H156" s="106">
        <f t="shared" si="6"/>
        <v>0</v>
      </c>
      <c r="I156" s="32" t="s">
        <v>57</v>
      </c>
      <c r="J156" s="3"/>
      <c r="K156" s="17"/>
    </row>
    <row r="157" spans="1:26" ht="15" customHeight="1" x14ac:dyDescent="0.2">
      <c r="A157" s="18" t="s">
        <v>50</v>
      </c>
      <c r="B157" s="24" t="s">
        <v>51</v>
      </c>
      <c r="C157" s="25" t="s">
        <v>16</v>
      </c>
      <c r="D157" s="26">
        <v>593</v>
      </c>
      <c r="E157" s="18" t="s">
        <v>17</v>
      </c>
      <c r="F157" s="179"/>
      <c r="G157" s="131">
        <f>(F157)*$G$27</f>
        <v>0</v>
      </c>
      <c r="H157" s="106">
        <f t="shared" si="6"/>
        <v>0</v>
      </c>
      <c r="I157" s="32" t="s">
        <v>57</v>
      </c>
      <c r="J157" s="3"/>
      <c r="K157" s="17"/>
      <c r="L157" s="17"/>
      <c r="M157" s="33"/>
    </row>
    <row r="158" spans="1:26" ht="15" customHeight="1" x14ac:dyDescent="0.2">
      <c r="A158" s="18" t="s">
        <v>50</v>
      </c>
      <c r="B158" s="24" t="s">
        <v>51</v>
      </c>
      <c r="C158" s="18" t="s">
        <v>38</v>
      </c>
      <c r="D158" s="20">
        <v>581</v>
      </c>
      <c r="E158" s="18" t="s">
        <v>19</v>
      </c>
      <c r="F158" s="179"/>
      <c r="G158" s="131">
        <f>(F158)*$G$27</f>
        <v>0</v>
      </c>
      <c r="H158" s="106">
        <f t="shared" si="6"/>
        <v>0</v>
      </c>
      <c r="I158" s="32" t="s">
        <v>57</v>
      </c>
      <c r="J158" s="3"/>
      <c r="K158" s="17"/>
    </row>
    <row r="159" spans="1:26" ht="15" customHeight="1" x14ac:dyDescent="0.2">
      <c r="A159" s="18" t="s">
        <v>50</v>
      </c>
      <c r="B159" s="24" t="s">
        <v>51</v>
      </c>
      <c r="C159" s="25" t="s">
        <v>21</v>
      </c>
      <c r="D159" s="26">
        <v>8914</v>
      </c>
      <c r="E159" s="18"/>
      <c r="F159" s="179"/>
      <c r="G159" s="131">
        <f>(F159)*$G$27</f>
        <v>0</v>
      </c>
      <c r="H159" s="106">
        <f t="shared" si="6"/>
        <v>0</v>
      </c>
      <c r="I159" s="32" t="s">
        <v>57</v>
      </c>
      <c r="J159" s="3"/>
      <c r="K159" s="17"/>
    </row>
    <row r="160" spans="1:26" ht="15" customHeight="1" x14ac:dyDescent="0.2">
      <c r="A160" s="18" t="s">
        <v>50</v>
      </c>
      <c r="B160" s="24" t="s">
        <v>51</v>
      </c>
      <c r="C160" s="25" t="s">
        <v>35</v>
      </c>
      <c r="D160" s="26">
        <v>597</v>
      </c>
      <c r="E160" s="18" t="s">
        <v>26</v>
      </c>
      <c r="F160" s="179"/>
      <c r="G160" s="131">
        <f>F160</f>
        <v>0</v>
      </c>
      <c r="H160" s="106">
        <f t="shared" si="6"/>
        <v>0</v>
      </c>
      <c r="I160" s="32" t="s">
        <v>57</v>
      </c>
      <c r="J160" s="3"/>
      <c r="K160" s="17"/>
    </row>
    <row r="161" spans="1:26" ht="15" customHeight="1" x14ac:dyDescent="0.2">
      <c r="A161" s="18" t="s">
        <v>50</v>
      </c>
      <c r="B161" s="24" t="s">
        <v>51</v>
      </c>
      <c r="C161" s="18" t="s">
        <v>27</v>
      </c>
      <c r="D161" s="20">
        <v>600</v>
      </c>
      <c r="E161" s="18" t="s">
        <v>19</v>
      </c>
      <c r="F161" s="179"/>
      <c r="G161" s="131">
        <f>(F161)*$G$27</f>
        <v>0</v>
      </c>
      <c r="H161" s="106">
        <f t="shared" si="6"/>
        <v>0</v>
      </c>
      <c r="I161" s="32" t="s">
        <v>57</v>
      </c>
      <c r="J161" s="3"/>
      <c r="K161" s="17"/>
    </row>
    <row r="162" spans="1:26" ht="15" customHeight="1" x14ac:dyDescent="0.2">
      <c r="A162" s="18" t="s">
        <v>50</v>
      </c>
      <c r="B162" s="24" t="s">
        <v>51</v>
      </c>
      <c r="C162" s="25" t="s">
        <v>28</v>
      </c>
      <c r="D162" s="26">
        <v>586</v>
      </c>
      <c r="E162" s="18" t="s">
        <v>29</v>
      </c>
      <c r="F162" s="179"/>
      <c r="G162" s="131">
        <f>(F162*1.1)*$E$27</f>
        <v>0</v>
      </c>
      <c r="H162" s="106">
        <f t="shared" si="6"/>
        <v>0</v>
      </c>
      <c r="I162" s="32" t="s">
        <v>57</v>
      </c>
      <c r="J162" s="3"/>
      <c r="K162" s="17"/>
    </row>
    <row r="163" spans="1:26" ht="15" customHeight="1" x14ac:dyDescent="0.2">
      <c r="A163" s="18" t="s">
        <v>50</v>
      </c>
      <c r="B163" s="24" t="s">
        <v>51</v>
      </c>
      <c r="C163" s="25" t="s">
        <v>143</v>
      </c>
      <c r="D163" s="26">
        <v>8913</v>
      </c>
      <c r="E163" s="18" t="s">
        <v>14</v>
      </c>
      <c r="F163" s="179"/>
      <c r="G163" s="131">
        <f>(F163)*$G$27</f>
        <v>0</v>
      </c>
      <c r="H163" s="106">
        <f t="shared" si="6"/>
        <v>0</v>
      </c>
      <c r="I163" s="32" t="s">
        <v>57</v>
      </c>
      <c r="J163" s="3"/>
      <c r="K163" s="17"/>
    </row>
    <row r="164" spans="1:26" ht="15" customHeight="1" x14ac:dyDescent="0.2">
      <c r="A164" s="18" t="s">
        <v>50</v>
      </c>
      <c r="B164" s="24" t="s">
        <v>51</v>
      </c>
      <c r="C164" s="25" t="s">
        <v>144</v>
      </c>
      <c r="D164" s="26">
        <v>9121</v>
      </c>
      <c r="E164" s="18" t="s">
        <v>14</v>
      </c>
      <c r="F164" s="179"/>
      <c r="G164" s="131">
        <f>(F164)*$I$27</f>
        <v>0</v>
      </c>
      <c r="H164" s="106">
        <f t="shared" si="6"/>
        <v>0</v>
      </c>
      <c r="I164" s="32" t="s">
        <v>57</v>
      </c>
      <c r="J164" s="3"/>
      <c r="K164" s="4"/>
      <c r="L164" s="84"/>
      <c r="M164" s="5"/>
      <c r="N164" s="29"/>
      <c r="R164" s="5"/>
      <c r="S164" s="5"/>
      <c r="T164" s="5"/>
      <c r="U164" s="5"/>
      <c r="V164" s="5"/>
      <c r="W164" s="5"/>
      <c r="X164" s="5"/>
      <c r="Y164" s="5"/>
      <c r="Z164" s="30"/>
    </row>
    <row r="165" spans="1:26" ht="15" customHeight="1" x14ac:dyDescent="0.2">
      <c r="A165" s="18" t="s">
        <v>50</v>
      </c>
      <c r="B165" s="24" t="s">
        <v>51</v>
      </c>
      <c r="C165" s="25" t="s">
        <v>30</v>
      </c>
      <c r="D165" s="26">
        <v>7552</v>
      </c>
      <c r="E165" s="18" t="s">
        <v>31</v>
      </c>
      <c r="F165" s="179"/>
      <c r="G165" s="131"/>
      <c r="H165" s="106">
        <f t="shared" si="6"/>
        <v>0</v>
      </c>
      <c r="I165" s="32" t="s">
        <v>57</v>
      </c>
      <c r="J165" s="3"/>
      <c r="K165" s="4"/>
      <c r="L165" s="84"/>
      <c r="M165" s="5"/>
      <c r="N165" s="29"/>
      <c r="R165" s="5"/>
      <c r="S165" s="5"/>
      <c r="T165" s="5"/>
      <c r="U165" s="5"/>
      <c r="V165" s="5"/>
      <c r="W165" s="5"/>
      <c r="X165" s="5"/>
      <c r="Y165" s="5"/>
      <c r="Z165" s="30"/>
    </row>
    <row r="166" spans="1:26" ht="15" customHeight="1" x14ac:dyDescent="0.2">
      <c r="A166" s="111"/>
      <c r="B166" s="112"/>
      <c r="C166" s="113"/>
      <c r="D166" s="114"/>
      <c r="E166" s="111"/>
      <c r="F166" s="182">
        <f>SUM(F142:F165)</f>
        <v>1009360.76</v>
      </c>
      <c r="G166" s="124">
        <f>SUM(G142:G165)</f>
        <v>13687511.272</v>
      </c>
      <c r="H166" s="124">
        <f>SUM(H152:H165)</f>
        <v>14718741.840987384</v>
      </c>
      <c r="I166" s="19"/>
      <c r="J166" s="3"/>
      <c r="K166" s="17"/>
    </row>
    <row r="167" spans="1:26" ht="15" customHeight="1" x14ac:dyDescent="0.2">
      <c r="A167" s="18" t="s">
        <v>50</v>
      </c>
      <c r="B167" s="24" t="s">
        <v>58</v>
      </c>
      <c r="C167" s="25" t="s">
        <v>52</v>
      </c>
      <c r="D167" s="26">
        <v>994</v>
      </c>
      <c r="E167" s="18" t="s">
        <v>43</v>
      </c>
      <c r="F167" s="179"/>
      <c r="G167" s="131">
        <f>(F167)*$G$27</f>
        <v>0</v>
      </c>
      <c r="H167" s="106">
        <f t="shared" ref="H167:H172" si="7">G167*(1+$G$9)*(1+$G$11)*(1+$G$16)</f>
        <v>0</v>
      </c>
      <c r="I167" s="19" t="s">
        <v>53</v>
      </c>
      <c r="J167" s="3"/>
      <c r="K167" s="17"/>
      <c r="L167" s="80"/>
      <c r="M167" s="80"/>
    </row>
    <row r="168" spans="1:26" ht="15" customHeight="1" x14ac:dyDescent="0.2">
      <c r="A168" s="18" t="s">
        <v>50</v>
      </c>
      <c r="B168" s="24" t="s">
        <v>58</v>
      </c>
      <c r="C168" s="25" t="s">
        <v>16</v>
      </c>
      <c r="D168" s="26">
        <v>999</v>
      </c>
      <c r="E168" s="18" t="s">
        <v>17</v>
      </c>
      <c r="F168" s="179">
        <v>115139.11</v>
      </c>
      <c r="G168" s="131">
        <f>(F168)*$G$27</f>
        <v>1565891.8959999999</v>
      </c>
      <c r="H168" s="106">
        <f t="shared" si="7"/>
        <v>1622107.4150664001</v>
      </c>
      <c r="I168" s="19" t="s">
        <v>53</v>
      </c>
      <c r="J168" s="3"/>
      <c r="K168" s="17"/>
    </row>
    <row r="169" spans="1:26" ht="15" customHeight="1" x14ac:dyDescent="0.2">
      <c r="A169" s="18" t="s">
        <v>50</v>
      </c>
      <c r="B169" s="24" t="s">
        <v>58</v>
      </c>
      <c r="C169" s="25" t="s">
        <v>16</v>
      </c>
      <c r="D169" s="26">
        <v>997</v>
      </c>
      <c r="E169" s="18" t="s">
        <v>17</v>
      </c>
      <c r="F169" s="179"/>
      <c r="G169" s="131">
        <f>(F169)*$G$27</f>
        <v>0</v>
      </c>
      <c r="H169" s="106">
        <f t="shared" si="7"/>
        <v>0</v>
      </c>
      <c r="I169" s="32" t="s">
        <v>56</v>
      </c>
      <c r="J169" s="3"/>
      <c r="K169" s="17"/>
    </row>
    <row r="170" spans="1:26" ht="15" customHeight="1" x14ac:dyDescent="0.2">
      <c r="A170" s="18" t="s">
        <v>50</v>
      </c>
      <c r="B170" s="24" t="s">
        <v>58</v>
      </c>
      <c r="C170" s="25" t="s">
        <v>48</v>
      </c>
      <c r="D170" s="26">
        <v>1000</v>
      </c>
      <c r="E170" s="18"/>
      <c r="F170" s="179"/>
      <c r="G170" s="131">
        <f>(F170)*$G$27</f>
        <v>0</v>
      </c>
      <c r="H170" s="106">
        <f t="shared" si="7"/>
        <v>0</v>
      </c>
      <c r="I170" s="19" t="s">
        <v>53</v>
      </c>
      <c r="J170" s="3"/>
      <c r="K170" s="17"/>
    </row>
    <row r="171" spans="1:26" ht="15" customHeight="1" x14ac:dyDescent="0.2">
      <c r="A171" s="18" t="s">
        <v>50</v>
      </c>
      <c r="B171" s="24" t="s">
        <v>58</v>
      </c>
      <c r="C171" s="25" t="s">
        <v>25</v>
      </c>
      <c r="D171" s="26">
        <v>1002</v>
      </c>
      <c r="E171" s="18" t="s">
        <v>26</v>
      </c>
      <c r="F171" s="179"/>
      <c r="G171" s="131">
        <f>F171</f>
        <v>0</v>
      </c>
      <c r="H171" s="106">
        <f t="shared" si="7"/>
        <v>0</v>
      </c>
      <c r="I171" s="19" t="s">
        <v>53</v>
      </c>
      <c r="J171" s="3"/>
      <c r="K171" s="17"/>
    </row>
    <row r="172" spans="1:26" ht="15" customHeight="1" x14ac:dyDescent="0.2">
      <c r="A172" s="18" t="s">
        <v>50</v>
      </c>
      <c r="B172" s="24" t="s">
        <v>58</v>
      </c>
      <c r="C172" s="18" t="s">
        <v>172</v>
      </c>
      <c r="D172" s="20">
        <v>1004</v>
      </c>
      <c r="E172" s="18" t="s">
        <v>19</v>
      </c>
      <c r="F172" s="179">
        <f>199768.41/4-F173</f>
        <v>18840.25</v>
      </c>
      <c r="G172" s="131">
        <f>(F172)*$G$27</f>
        <v>256227.4</v>
      </c>
      <c r="H172" s="106">
        <f t="shared" si="7"/>
        <v>265425.96366000001</v>
      </c>
      <c r="I172" s="19" t="s">
        <v>53</v>
      </c>
      <c r="J172" s="3"/>
      <c r="K172" s="17"/>
    </row>
    <row r="173" spans="1:26" ht="15" customHeight="1" x14ac:dyDescent="0.2">
      <c r="A173" s="18" t="s">
        <v>50</v>
      </c>
      <c r="B173" s="24" t="s">
        <v>58</v>
      </c>
      <c r="C173" s="18" t="s">
        <v>173</v>
      </c>
      <c r="D173" s="20">
        <v>1004</v>
      </c>
      <c r="E173" s="18" t="s">
        <v>174</v>
      </c>
      <c r="F173" s="179">
        <f>124407.41/4</f>
        <v>31101.852500000001</v>
      </c>
      <c r="G173" s="131">
        <f>(F173)*$G$27</f>
        <v>422985.19400000002</v>
      </c>
      <c r="H173" s="106">
        <f>(G173/G$26*H$26)*(1+$G$9)*(1+$G$11)*(1+$G$16)</f>
        <v>531115.59086618188</v>
      </c>
      <c r="I173" s="19" t="s">
        <v>53</v>
      </c>
      <c r="J173" s="3"/>
      <c r="K173" s="17"/>
    </row>
    <row r="174" spans="1:26" ht="15" customHeight="1" x14ac:dyDescent="0.2">
      <c r="A174" s="18" t="s">
        <v>50</v>
      </c>
      <c r="B174" s="24" t="s">
        <v>58</v>
      </c>
      <c r="C174" s="25" t="s">
        <v>143</v>
      </c>
      <c r="D174" s="26">
        <v>8915</v>
      </c>
      <c r="E174" s="18" t="s">
        <v>14</v>
      </c>
      <c r="F174" s="179"/>
      <c r="G174" s="131">
        <f>(F174)*$G$27</f>
        <v>0</v>
      </c>
      <c r="H174" s="106">
        <f>G174*(1+$G$9)*(1+$G$11)*(1+$G$16)</f>
        <v>0</v>
      </c>
      <c r="I174" s="19" t="s">
        <v>53</v>
      </c>
      <c r="J174" s="3"/>
      <c r="K174" s="17"/>
    </row>
    <row r="175" spans="1:26" ht="15" customHeight="1" x14ac:dyDescent="0.2">
      <c r="A175" s="18" t="s">
        <v>50</v>
      </c>
      <c r="B175" s="24" t="s">
        <v>58</v>
      </c>
      <c r="C175" s="25" t="s">
        <v>144</v>
      </c>
      <c r="D175" s="26">
        <v>9122</v>
      </c>
      <c r="E175" s="18" t="s">
        <v>14</v>
      </c>
      <c r="F175" s="179">
        <v>2467.11</v>
      </c>
      <c r="G175" s="131">
        <f>(F175)*$I$27</f>
        <v>29605.32</v>
      </c>
      <c r="H175" s="106">
        <f>G175*(1+$G$9)*(1+$G$11)*(1+$G$16)</f>
        <v>30668.150988000001</v>
      </c>
      <c r="I175" s="19" t="s">
        <v>53</v>
      </c>
      <c r="J175" s="3"/>
      <c r="K175" s="4"/>
      <c r="L175" s="84"/>
      <c r="M175" s="5"/>
      <c r="N175" s="29"/>
      <c r="R175" s="5"/>
      <c r="S175" s="5"/>
      <c r="T175" s="5"/>
      <c r="U175" s="5"/>
      <c r="V175" s="5"/>
      <c r="W175" s="5"/>
      <c r="X175" s="5"/>
      <c r="Y175" s="5"/>
      <c r="Z175" s="30"/>
    </row>
    <row r="176" spans="1:26" ht="15" customHeight="1" x14ac:dyDescent="0.2">
      <c r="A176" s="18"/>
      <c r="B176" s="24"/>
      <c r="C176" s="25"/>
      <c r="D176" s="26"/>
      <c r="E176" s="18"/>
      <c r="F176" s="179"/>
      <c r="G176" s="131"/>
      <c r="H176" s="106">
        <f>SUM(H168:H175)</f>
        <v>2449317.1205805819</v>
      </c>
      <c r="I176" s="21">
        <f>SUM(H176:H176)</f>
        <v>2449317.1205805819</v>
      </c>
      <c r="J176" s="3"/>
      <c r="K176" s="4"/>
      <c r="L176" s="84"/>
      <c r="M176" s="5"/>
      <c r="N176" s="29"/>
      <c r="R176" s="5"/>
      <c r="S176" s="5"/>
      <c r="T176" s="5"/>
      <c r="U176" s="5"/>
      <c r="V176" s="5"/>
      <c r="W176" s="5"/>
      <c r="X176" s="5"/>
      <c r="Y176" s="5"/>
      <c r="Z176" s="30"/>
    </row>
    <row r="177" spans="1:26" ht="15" customHeight="1" x14ac:dyDescent="0.2">
      <c r="A177" s="18" t="s">
        <v>50</v>
      </c>
      <c r="B177" s="24" t="s">
        <v>58</v>
      </c>
      <c r="C177" s="25" t="s">
        <v>28</v>
      </c>
      <c r="D177" s="26">
        <v>990</v>
      </c>
      <c r="E177" s="18" t="s">
        <v>29</v>
      </c>
      <c r="F177" s="179">
        <v>7783.88</v>
      </c>
      <c r="G177" s="131">
        <f>(F177*1.1)*$E$27</f>
        <v>102747.216</v>
      </c>
      <c r="H177" s="106">
        <f t="shared" ref="H177:H189" si="8">G177*(1+$G$9)*(1+$G$11)*(1+$G$16)</f>
        <v>106435.84105440001</v>
      </c>
      <c r="I177" s="19" t="s">
        <v>53</v>
      </c>
      <c r="J177" s="3"/>
      <c r="K177" s="17"/>
    </row>
    <row r="178" spans="1:26" ht="15" customHeight="1" x14ac:dyDescent="0.2">
      <c r="A178" s="18" t="s">
        <v>50</v>
      </c>
      <c r="B178" s="24" t="s">
        <v>58</v>
      </c>
      <c r="C178" s="18" t="s">
        <v>38</v>
      </c>
      <c r="D178" s="20">
        <v>985</v>
      </c>
      <c r="E178" s="18" t="s">
        <v>19</v>
      </c>
      <c r="F178" s="179"/>
      <c r="G178" s="131">
        <f>(F178)*$G$27</f>
        <v>0</v>
      </c>
      <c r="H178" s="106">
        <f t="shared" si="8"/>
        <v>0</v>
      </c>
      <c r="I178" s="19" t="s">
        <v>53</v>
      </c>
      <c r="J178" s="3"/>
      <c r="K178" s="17"/>
    </row>
    <row r="179" spans="1:26" ht="15" customHeight="1" x14ac:dyDescent="0.2">
      <c r="A179" s="18" t="s">
        <v>50</v>
      </c>
      <c r="B179" s="24" t="s">
        <v>58</v>
      </c>
      <c r="C179" s="25" t="s">
        <v>30</v>
      </c>
      <c r="D179" s="26">
        <v>1005</v>
      </c>
      <c r="E179" s="18" t="s">
        <v>31</v>
      </c>
      <c r="F179" s="179"/>
      <c r="G179" s="131"/>
      <c r="H179" s="106">
        <f t="shared" si="8"/>
        <v>0</v>
      </c>
      <c r="I179" s="19" t="s">
        <v>53</v>
      </c>
      <c r="J179" s="3"/>
      <c r="K179" s="4"/>
      <c r="L179" s="84"/>
      <c r="M179" s="5"/>
      <c r="N179" s="29"/>
      <c r="R179" s="5"/>
      <c r="S179" s="5"/>
      <c r="T179" s="5"/>
      <c r="U179" s="5"/>
      <c r="V179" s="5"/>
      <c r="W179" s="5"/>
      <c r="X179" s="5"/>
      <c r="Y179" s="5"/>
      <c r="Z179" s="30"/>
    </row>
    <row r="180" spans="1:26" ht="15" customHeight="1" x14ac:dyDescent="0.2">
      <c r="A180" s="18" t="s">
        <v>50</v>
      </c>
      <c r="B180" s="24" t="s">
        <v>58</v>
      </c>
      <c r="C180" s="25" t="s">
        <v>52</v>
      </c>
      <c r="D180" s="26">
        <v>7553</v>
      </c>
      <c r="E180" s="18" t="s">
        <v>43</v>
      </c>
      <c r="F180" s="179"/>
      <c r="G180" s="131">
        <f>(F180)*$G$27</f>
        <v>0</v>
      </c>
      <c r="H180" s="106">
        <f t="shared" si="8"/>
        <v>0</v>
      </c>
      <c r="I180" s="32" t="s">
        <v>57</v>
      </c>
      <c r="J180" s="3"/>
      <c r="K180" s="17"/>
    </row>
    <row r="181" spans="1:26" ht="15" customHeight="1" x14ac:dyDescent="0.2">
      <c r="A181" s="18" t="s">
        <v>50</v>
      </c>
      <c r="B181" s="24" t="s">
        <v>58</v>
      </c>
      <c r="C181" s="25" t="s">
        <v>16</v>
      </c>
      <c r="D181" s="26">
        <v>998</v>
      </c>
      <c r="E181" s="18" t="s">
        <v>17</v>
      </c>
      <c r="F181" s="179"/>
      <c r="G181" s="131">
        <f>(F181)*$G$27</f>
        <v>0</v>
      </c>
      <c r="H181" s="106">
        <f t="shared" si="8"/>
        <v>0</v>
      </c>
      <c r="I181" s="32" t="s">
        <v>57</v>
      </c>
      <c r="J181" s="3"/>
      <c r="K181" s="17"/>
    </row>
    <row r="182" spans="1:26" ht="15" customHeight="1" x14ac:dyDescent="0.2">
      <c r="A182" s="18" t="s">
        <v>50</v>
      </c>
      <c r="B182" s="24" t="s">
        <v>58</v>
      </c>
      <c r="C182" s="18" t="s">
        <v>38</v>
      </c>
      <c r="D182" s="20">
        <v>984</v>
      </c>
      <c r="E182" s="18" t="s">
        <v>19</v>
      </c>
      <c r="F182" s="179"/>
      <c r="G182" s="131">
        <f>(F182)*$G$27</f>
        <v>0</v>
      </c>
      <c r="H182" s="106">
        <f t="shared" si="8"/>
        <v>0</v>
      </c>
      <c r="I182" s="32" t="s">
        <v>57</v>
      </c>
      <c r="J182" s="3"/>
      <c r="K182" s="17"/>
    </row>
    <row r="183" spans="1:26" ht="15" customHeight="1" x14ac:dyDescent="0.2">
      <c r="A183" s="18" t="s">
        <v>50</v>
      </c>
      <c r="B183" s="24" t="s">
        <v>58</v>
      </c>
      <c r="C183" s="25" t="s">
        <v>48</v>
      </c>
      <c r="D183" s="26">
        <v>8916</v>
      </c>
      <c r="E183" s="18"/>
      <c r="F183" s="179"/>
      <c r="G183" s="131">
        <f>(F183)*$G$27</f>
        <v>0</v>
      </c>
      <c r="H183" s="106">
        <f t="shared" si="8"/>
        <v>0</v>
      </c>
      <c r="I183" s="19" t="s">
        <v>57</v>
      </c>
      <c r="J183" s="3"/>
      <c r="K183" s="17"/>
    </row>
    <row r="184" spans="1:26" ht="15" customHeight="1" x14ac:dyDescent="0.2">
      <c r="A184" s="18" t="s">
        <v>50</v>
      </c>
      <c r="B184" s="24" t="s">
        <v>58</v>
      </c>
      <c r="C184" s="25" t="s">
        <v>35</v>
      </c>
      <c r="D184" s="26">
        <v>1001</v>
      </c>
      <c r="E184" s="18" t="s">
        <v>26</v>
      </c>
      <c r="F184" s="179"/>
      <c r="G184" s="131">
        <f>F184</f>
        <v>0</v>
      </c>
      <c r="H184" s="106">
        <f t="shared" si="8"/>
        <v>0</v>
      </c>
      <c r="I184" s="32" t="s">
        <v>57</v>
      </c>
      <c r="J184" s="3"/>
      <c r="K184" s="17"/>
    </row>
    <row r="185" spans="1:26" ht="15" customHeight="1" x14ac:dyDescent="0.2">
      <c r="A185" s="18" t="s">
        <v>50</v>
      </c>
      <c r="B185" s="24" t="s">
        <v>58</v>
      </c>
      <c r="C185" s="18" t="s">
        <v>27</v>
      </c>
      <c r="D185" s="20">
        <v>1003</v>
      </c>
      <c r="E185" s="18" t="s">
        <v>19</v>
      </c>
      <c r="F185" s="179"/>
      <c r="G185" s="131">
        <f>(F185)*$G$27</f>
        <v>0</v>
      </c>
      <c r="H185" s="106">
        <f t="shared" si="8"/>
        <v>0</v>
      </c>
      <c r="I185" s="32" t="s">
        <v>57</v>
      </c>
      <c r="J185" s="3"/>
      <c r="K185" s="17"/>
    </row>
    <row r="186" spans="1:26" ht="15" customHeight="1" x14ac:dyDescent="0.2">
      <c r="A186" s="18" t="s">
        <v>50</v>
      </c>
      <c r="B186" s="24" t="s">
        <v>58</v>
      </c>
      <c r="C186" s="25" t="s">
        <v>28</v>
      </c>
      <c r="D186" s="26">
        <v>989</v>
      </c>
      <c r="E186" s="18" t="s">
        <v>29</v>
      </c>
      <c r="F186" s="179"/>
      <c r="G186" s="131">
        <f>(F186*1.1)*$E$27</f>
        <v>0</v>
      </c>
      <c r="H186" s="106">
        <f t="shared" si="8"/>
        <v>0</v>
      </c>
      <c r="I186" s="32" t="s">
        <v>57</v>
      </c>
      <c r="J186" s="3"/>
      <c r="K186" s="17"/>
    </row>
    <row r="187" spans="1:26" ht="15" customHeight="1" x14ac:dyDescent="0.2">
      <c r="A187" s="18" t="s">
        <v>50</v>
      </c>
      <c r="B187" s="24" t="s">
        <v>58</v>
      </c>
      <c r="C187" s="25" t="s">
        <v>143</v>
      </c>
      <c r="D187" s="26">
        <v>8917</v>
      </c>
      <c r="E187" s="18" t="s">
        <v>14</v>
      </c>
      <c r="F187" s="179"/>
      <c r="G187" s="131">
        <f>(F187)*$G$27</f>
        <v>0</v>
      </c>
      <c r="H187" s="106">
        <f t="shared" si="8"/>
        <v>0</v>
      </c>
      <c r="I187" s="32" t="s">
        <v>57</v>
      </c>
      <c r="J187" s="3"/>
      <c r="K187" s="17"/>
    </row>
    <row r="188" spans="1:26" ht="15" customHeight="1" x14ac:dyDescent="0.2">
      <c r="A188" s="18" t="s">
        <v>50</v>
      </c>
      <c r="B188" s="24" t="s">
        <v>58</v>
      </c>
      <c r="C188" s="25" t="s">
        <v>144</v>
      </c>
      <c r="D188" s="26">
        <v>9123</v>
      </c>
      <c r="E188" s="18" t="s">
        <v>14</v>
      </c>
      <c r="F188" s="179"/>
      <c r="G188" s="131">
        <f>(F188)*$I$27</f>
        <v>0</v>
      </c>
      <c r="H188" s="106">
        <f t="shared" si="8"/>
        <v>0</v>
      </c>
      <c r="I188" s="32" t="s">
        <v>57</v>
      </c>
      <c r="J188" s="3"/>
      <c r="K188" s="4"/>
      <c r="L188" s="84"/>
      <c r="M188" s="5"/>
      <c r="N188" s="29"/>
      <c r="R188" s="5"/>
      <c r="S188" s="5"/>
      <c r="T188" s="5"/>
      <c r="U188" s="5"/>
      <c r="V188" s="5"/>
      <c r="W188" s="5"/>
      <c r="X188" s="5"/>
      <c r="Y188" s="5"/>
      <c r="Z188" s="30"/>
    </row>
    <row r="189" spans="1:26" ht="15" customHeight="1" x14ac:dyDescent="0.2">
      <c r="A189" s="18" t="s">
        <v>50</v>
      </c>
      <c r="B189" s="24" t="s">
        <v>58</v>
      </c>
      <c r="C189" s="25" t="s">
        <v>30</v>
      </c>
      <c r="D189" s="26">
        <v>7554</v>
      </c>
      <c r="E189" s="18" t="s">
        <v>31</v>
      </c>
      <c r="F189" s="179"/>
      <c r="G189" s="131"/>
      <c r="H189" s="106">
        <f t="shared" si="8"/>
        <v>0</v>
      </c>
      <c r="I189" s="32" t="s">
        <v>57</v>
      </c>
      <c r="J189" s="3"/>
      <c r="K189" s="4"/>
      <c r="L189" s="84"/>
      <c r="M189" s="5"/>
      <c r="N189" s="29"/>
      <c r="R189" s="5"/>
      <c r="S189" s="5"/>
      <c r="T189" s="5"/>
      <c r="U189" s="5"/>
      <c r="V189" s="5"/>
      <c r="W189" s="5"/>
      <c r="X189" s="5"/>
      <c r="Y189" s="5"/>
      <c r="Z189" s="30"/>
    </row>
    <row r="190" spans="1:26" ht="15" customHeight="1" x14ac:dyDescent="0.2">
      <c r="A190" s="111"/>
      <c r="B190" s="112"/>
      <c r="C190" s="113"/>
      <c r="D190" s="114"/>
      <c r="E190" s="111"/>
      <c r="F190" s="182">
        <f>SUM(F167:F189)</f>
        <v>175332.20249999998</v>
      </c>
      <c r="G190" s="124">
        <f>SUM(G167:G189)</f>
        <v>2377457.0259999996</v>
      </c>
      <c r="H190" s="124">
        <f>SUM(H176:H189)</f>
        <v>2555752.9616349819</v>
      </c>
      <c r="I190" s="19"/>
      <c r="J190" s="3"/>
      <c r="K190" s="17"/>
    </row>
    <row r="191" spans="1:26" ht="15" customHeight="1" x14ac:dyDescent="0.2">
      <c r="A191" s="18" t="s">
        <v>50</v>
      </c>
      <c r="B191" s="24" t="s">
        <v>59</v>
      </c>
      <c r="C191" s="25" t="s">
        <v>52</v>
      </c>
      <c r="D191" s="26">
        <v>1006</v>
      </c>
      <c r="E191" s="18" t="s">
        <v>43</v>
      </c>
      <c r="F191" s="179"/>
      <c r="G191" s="131">
        <f t="shared" ref="G191:G198" si="9">(F191)*$G$27</f>
        <v>0</v>
      </c>
      <c r="H191" s="106">
        <f t="shared" ref="H191:H196" si="10">G191*(1+$G$9)*(1+$G$11)*(1+$G$16)</f>
        <v>0</v>
      </c>
      <c r="I191" s="19" t="s">
        <v>53</v>
      </c>
      <c r="J191" s="3"/>
      <c r="K191" s="17"/>
    </row>
    <row r="192" spans="1:26" ht="15" customHeight="1" x14ac:dyDescent="0.2">
      <c r="A192" s="18" t="s">
        <v>50</v>
      </c>
      <c r="B192" s="24" t="s">
        <v>59</v>
      </c>
      <c r="C192" s="25" t="s">
        <v>16</v>
      </c>
      <c r="D192" s="26">
        <v>1011</v>
      </c>
      <c r="E192" s="18" t="s">
        <v>17</v>
      </c>
      <c r="F192" s="179">
        <f>111516.65-1546.42-463.87-3480.49-2706.67</f>
        <v>103319.2</v>
      </c>
      <c r="G192" s="131">
        <f t="shared" si="9"/>
        <v>1405141.1199999999</v>
      </c>
      <c r="H192" s="106">
        <f t="shared" si="10"/>
        <v>1455585.6862079999</v>
      </c>
      <c r="I192" s="19" t="s">
        <v>53</v>
      </c>
      <c r="J192" s="3"/>
      <c r="K192" s="17"/>
    </row>
    <row r="193" spans="1:26" ht="15" customHeight="1" x14ac:dyDescent="0.2">
      <c r="A193" s="18" t="s">
        <v>50</v>
      </c>
      <c r="B193" s="24" t="s">
        <v>59</v>
      </c>
      <c r="C193" s="25" t="s">
        <v>16</v>
      </c>
      <c r="D193" s="26">
        <v>1009</v>
      </c>
      <c r="E193" s="18" t="s">
        <v>17</v>
      </c>
      <c r="F193" s="179"/>
      <c r="G193" s="131">
        <f t="shared" si="9"/>
        <v>0</v>
      </c>
      <c r="H193" s="106">
        <f t="shared" si="10"/>
        <v>0</v>
      </c>
      <c r="I193" s="32" t="s">
        <v>56</v>
      </c>
      <c r="J193" s="3"/>
      <c r="K193" s="17"/>
    </row>
    <row r="194" spans="1:26" ht="15" customHeight="1" x14ac:dyDescent="0.2">
      <c r="A194" s="18" t="s">
        <v>50</v>
      </c>
      <c r="B194" s="24" t="s">
        <v>59</v>
      </c>
      <c r="C194" s="25" t="s">
        <v>48</v>
      </c>
      <c r="D194" s="26">
        <v>1012</v>
      </c>
      <c r="E194" s="18"/>
      <c r="F194" s="179">
        <v>2706.67</v>
      </c>
      <c r="G194" s="131">
        <f t="shared" si="9"/>
        <v>36810.712</v>
      </c>
      <c r="H194" s="106">
        <f t="shared" si="10"/>
        <v>38132.2165608</v>
      </c>
      <c r="I194" s="19" t="s">
        <v>53</v>
      </c>
      <c r="J194" s="3"/>
      <c r="K194" s="17"/>
    </row>
    <row r="195" spans="1:26" ht="15" customHeight="1" x14ac:dyDescent="0.2">
      <c r="A195" s="18" t="s">
        <v>50</v>
      </c>
      <c r="B195" s="24" t="s">
        <v>59</v>
      </c>
      <c r="C195" s="25" t="s">
        <v>25</v>
      </c>
      <c r="D195" s="26">
        <v>1014</v>
      </c>
      <c r="E195" s="18" t="s">
        <v>26</v>
      </c>
      <c r="F195" s="179"/>
      <c r="G195" s="131">
        <f t="shared" si="9"/>
        <v>0</v>
      </c>
      <c r="H195" s="106">
        <f t="shared" si="10"/>
        <v>0</v>
      </c>
      <c r="I195" s="19" t="s">
        <v>53</v>
      </c>
      <c r="J195" s="3"/>
      <c r="K195" s="17"/>
    </row>
    <row r="196" spans="1:26" ht="15" customHeight="1" x14ac:dyDescent="0.2">
      <c r="A196" s="18" t="s">
        <v>50</v>
      </c>
      <c r="B196" s="24" t="s">
        <v>59</v>
      </c>
      <c r="C196" s="18" t="s">
        <v>172</v>
      </c>
      <c r="D196" s="20">
        <v>1016</v>
      </c>
      <c r="E196" s="18" t="s">
        <v>19</v>
      </c>
      <c r="F196" s="179">
        <f>142341.23/4-F197</f>
        <v>13424.330000000002</v>
      </c>
      <c r="G196" s="131">
        <f t="shared" si="9"/>
        <v>182570.88800000001</v>
      </c>
      <c r="H196" s="106">
        <f t="shared" si="10"/>
        <v>189125.1828792</v>
      </c>
      <c r="I196" s="19" t="s">
        <v>53</v>
      </c>
      <c r="J196" s="3"/>
      <c r="K196" s="17"/>
    </row>
    <row r="197" spans="1:26" ht="15" customHeight="1" x14ac:dyDescent="0.2">
      <c r="A197" s="18" t="s">
        <v>50</v>
      </c>
      <c r="B197" s="24" t="s">
        <v>59</v>
      </c>
      <c r="C197" s="18" t="s">
        <v>173</v>
      </c>
      <c r="D197" s="20">
        <v>1016</v>
      </c>
      <c r="E197" s="18" t="s">
        <v>174</v>
      </c>
      <c r="F197" s="179">
        <f>88643.91/4</f>
        <v>22160.977500000001</v>
      </c>
      <c r="G197" s="131">
        <f t="shared" si="9"/>
        <v>301389.29399999999</v>
      </c>
      <c r="H197" s="106">
        <f>(G197/G$26*H$26)*(1+$G$9)*(1+$G$11)*(1+$G$16)</f>
        <v>378435.35715709097</v>
      </c>
      <c r="I197" s="19" t="s">
        <v>53</v>
      </c>
      <c r="J197" s="3"/>
      <c r="K197" s="17"/>
    </row>
    <row r="198" spans="1:26" ht="15" customHeight="1" x14ac:dyDescent="0.2">
      <c r="A198" s="18" t="s">
        <v>50</v>
      </c>
      <c r="B198" s="24" t="s">
        <v>59</v>
      </c>
      <c r="C198" s="25" t="s">
        <v>143</v>
      </c>
      <c r="D198" s="26">
        <v>8918</v>
      </c>
      <c r="E198" s="18" t="s">
        <v>14</v>
      </c>
      <c r="F198" s="179">
        <v>307.62</v>
      </c>
      <c r="G198" s="131">
        <f t="shared" si="9"/>
        <v>4183.6319999999996</v>
      </c>
      <c r="H198" s="106">
        <f>G198*(1+$G$9)*(1+$G$11)*(1+$G$16)</f>
        <v>4333.8243887999997</v>
      </c>
      <c r="I198" s="19" t="s">
        <v>53</v>
      </c>
      <c r="J198" s="3"/>
      <c r="K198" s="17"/>
    </row>
    <row r="199" spans="1:26" ht="15" customHeight="1" x14ac:dyDescent="0.2">
      <c r="A199" s="18" t="s">
        <v>50</v>
      </c>
      <c r="B199" s="24" t="s">
        <v>59</v>
      </c>
      <c r="C199" s="25" t="s">
        <v>144</v>
      </c>
      <c r="D199" s="26">
        <v>9124</v>
      </c>
      <c r="E199" s="18" t="s">
        <v>14</v>
      </c>
      <c r="F199" s="179">
        <v>3553.75</v>
      </c>
      <c r="G199" s="131">
        <f>(F199)*$I$27</f>
        <v>42645</v>
      </c>
      <c r="H199" s="106">
        <f>G199*(1+$G$9)*(1+$G$11)*(1+$G$16)</f>
        <v>44175.955500000004</v>
      </c>
      <c r="I199" s="19" t="s">
        <v>53</v>
      </c>
      <c r="J199" s="3"/>
      <c r="K199" s="4"/>
      <c r="L199" s="84"/>
      <c r="M199" s="5"/>
      <c r="N199" s="29"/>
      <c r="R199" s="5"/>
      <c r="S199" s="5"/>
      <c r="T199" s="5"/>
      <c r="U199" s="5"/>
      <c r="V199" s="5"/>
      <c r="W199" s="5"/>
      <c r="X199" s="5"/>
      <c r="Y199" s="5"/>
      <c r="Z199" s="30"/>
    </row>
    <row r="200" spans="1:26" ht="15" customHeight="1" x14ac:dyDescent="0.2">
      <c r="A200" s="18"/>
      <c r="B200" s="24"/>
      <c r="C200" s="25"/>
      <c r="D200" s="26"/>
      <c r="E200" s="18"/>
      <c r="F200" s="179"/>
      <c r="G200" s="131"/>
      <c r="H200" s="106">
        <f>SUM(H192:H199)</f>
        <v>2109788.2226938908</v>
      </c>
      <c r="I200" s="21">
        <f>SUM(H200:H200)</f>
        <v>2109788.2226938908</v>
      </c>
      <c r="J200" s="3"/>
      <c r="K200" s="4"/>
      <c r="L200" s="84"/>
      <c r="M200" s="5"/>
      <c r="N200" s="29"/>
      <c r="R200" s="5"/>
      <c r="S200" s="5"/>
      <c r="T200" s="5"/>
      <c r="U200" s="5"/>
      <c r="V200" s="5"/>
      <c r="W200" s="5"/>
      <c r="X200" s="5"/>
      <c r="Y200" s="5"/>
      <c r="Z200" s="30"/>
    </row>
    <row r="201" spans="1:26" ht="15" customHeight="1" x14ac:dyDescent="0.2">
      <c r="A201" s="18" t="s">
        <v>50</v>
      </c>
      <c r="B201" s="24" t="s">
        <v>59</v>
      </c>
      <c r="C201" s="25" t="s">
        <v>28</v>
      </c>
      <c r="D201" s="26">
        <v>992</v>
      </c>
      <c r="E201" s="18" t="s">
        <v>29</v>
      </c>
      <c r="F201" s="179">
        <v>15268.38</v>
      </c>
      <c r="G201" s="131">
        <f>(F201*1.1)*$E$27</f>
        <v>201542.61600000001</v>
      </c>
      <c r="H201" s="106">
        <f t="shared" ref="H201:H209" si="11">G201*(1+$G$9)*(1+$G$11)*(1+$G$16)</f>
        <v>208777.99591440003</v>
      </c>
      <c r="I201" s="19" t="s">
        <v>53</v>
      </c>
      <c r="J201" s="3"/>
      <c r="K201" s="17"/>
    </row>
    <row r="202" spans="1:26" ht="15" customHeight="1" x14ac:dyDescent="0.2">
      <c r="A202" s="18" t="s">
        <v>50</v>
      </c>
      <c r="B202" s="24" t="s">
        <v>59</v>
      </c>
      <c r="C202" s="18" t="s">
        <v>38</v>
      </c>
      <c r="D202" s="20">
        <v>987</v>
      </c>
      <c r="E202" s="18" t="s">
        <v>19</v>
      </c>
      <c r="F202" s="179">
        <f>607.65+237.12</f>
        <v>844.77</v>
      </c>
      <c r="G202" s="131">
        <f>(F202)*$G$27</f>
        <v>11488.871999999999</v>
      </c>
      <c r="H202" s="106">
        <f t="shared" si="11"/>
        <v>11901.3225048</v>
      </c>
      <c r="I202" s="19" t="s">
        <v>53</v>
      </c>
      <c r="J202" s="3" t="s">
        <v>186</v>
      </c>
      <c r="K202" s="17"/>
    </row>
    <row r="203" spans="1:26" ht="15" customHeight="1" x14ac:dyDescent="0.2">
      <c r="A203" s="18" t="s">
        <v>50</v>
      </c>
      <c r="B203" s="24" t="s">
        <v>59</v>
      </c>
      <c r="C203" s="25" t="s">
        <v>30</v>
      </c>
      <c r="D203" s="26">
        <v>1017</v>
      </c>
      <c r="E203" s="18" t="s">
        <v>31</v>
      </c>
      <c r="F203" s="179"/>
      <c r="G203" s="131"/>
      <c r="H203" s="106">
        <f t="shared" si="11"/>
        <v>0</v>
      </c>
      <c r="I203" s="19" t="s">
        <v>53</v>
      </c>
      <c r="J203" s="3"/>
      <c r="K203" s="4"/>
      <c r="L203" s="84"/>
      <c r="M203" s="5"/>
      <c r="N203" s="29"/>
      <c r="R203" s="5"/>
      <c r="S203" s="5"/>
      <c r="T203" s="5"/>
      <c r="U203" s="5"/>
      <c r="V203" s="5"/>
      <c r="W203" s="5"/>
      <c r="X203" s="5"/>
      <c r="Y203" s="5"/>
      <c r="Z203" s="30"/>
    </row>
    <row r="204" spans="1:26" ht="15" customHeight="1" x14ac:dyDescent="0.2">
      <c r="A204" s="18" t="s">
        <v>50</v>
      </c>
      <c r="B204" s="24" t="s">
        <v>59</v>
      </c>
      <c r="C204" s="25" t="s">
        <v>52</v>
      </c>
      <c r="D204" s="26">
        <v>7555</v>
      </c>
      <c r="E204" s="18" t="s">
        <v>43</v>
      </c>
      <c r="F204" s="179"/>
      <c r="G204" s="131"/>
      <c r="H204" s="106">
        <f t="shared" si="11"/>
        <v>0</v>
      </c>
      <c r="I204" s="32" t="s">
        <v>57</v>
      </c>
      <c r="J204" s="3"/>
      <c r="K204" s="17"/>
    </row>
    <row r="205" spans="1:26" ht="15" customHeight="1" x14ac:dyDescent="0.2">
      <c r="A205" s="18" t="s">
        <v>50</v>
      </c>
      <c r="B205" s="24" t="s">
        <v>59</v>
      </c>
      <c r="C205" s="25" t="s">
        <v>16</v>
      </c>
      <c r="D205" s="26">
        <v>1010</v>
      </c>
      <c r="E205" s="18" t="s">
        <v>17</v>
      </c>
      <c r="F205" s="179"/>
      <c r="G205" s="131">
        <f>(F205)*$G$27</f>
        <v>0</v>
      </c>
      <c r="H205" s="106">
        <f t="shared" si="11"/>
        <v>0</v>
      </c>
      <c r="I205" s="32" t="s">
        <v>57</v>
      </c>
      <c r="J205" s="3"/>
      <c r="K205" s="17"/>
    </row>
    <row r="206" spans="1:26" ht="15" customHeight="1" x14ac:dyDescent="0.2">
      <c r="A206" s="18" t="s">
        <v>50</v>
      </c>
      <c r="B206" s="24" t="s">
        <v>59</v>
      </c>
      <c r="C206" s="18" t="s">
        <v>38</v>
      </c>
      <c r="D206" s="20">
        <v>986</v>
      </c>
      <c r="E206" s="18" t="s">
        <v>19</v>
      </c>
      <c r="F206" s="179"/>
      <c r="G206" s="131">
        <f>(F206)*$G$27</f>
        <v>0</v>
      </c>
      <c r="H206" s="106">
        <f t="shared" si="11"/>
        <v>0</v>
      </c>
      <c r="I206" s="32" t="s">
        <v>57</v>
      </c>
      <c r="J206" s="3"/>
      <c r="K206" s="17"/>
    </row>
    <row r="207" spans="1:26" ht="15" customHeight="1" x14ac:dyDescent="0.2">
      <c r="A207" s="18" t="s">
        <v>50</v>
      </c>
      <c r="B207" s="24" t="s">
        <v>59</v>
      </c>
      <c r="C207" s="25" t="s">
        <v>48</v>
      </c>
      <c r="D207" s="26">
        <v>8919</v>
      </c>
      <c r="E207" s="18"/>
      <c r="F207" s="179"/>
      <c r="G207" s="131">
        <f>(F207)*$G$27</f>
        <v>0</v>
      </c>
      <c r="H207" s="106">
        <f t="shared" si="11"/>
        <v>0</v>
      </c>
      <c r="I207" s="32" t="s">
        <v>57</v>
      </c>
      <c r="J207" s="3"/>
      <c r="K207" s="17"/>
    </row>
    <row r="208" spans="1:26" ht="15" customHeight="1" x14ac:dyDescent="0.2">
      <c r="A208" s="18" t="s">
        <v>50</v>
      </c>
      <c r="B208" s="24" t="s">
        <v>59</v>
      </c>
      <c r="C208" s="25" t="s">
        <v>35</v>
      </c>
      <c r="D208" s="26">
        <v>1013</v>
      </c>
      <c r="E208" s="18" t="s">
        <v>26</v>
      </c>
      <c r="F208" s="179"/>
      <c r="G208" s="131"/>
      <c r="H208" s="106">
        <f t="shared" si="11"/>
        <v>0</v>
      </c>
      <c r="I208" s="32" t="s">
        <v>57</v>
      </c>
      <c r="J208" s="3"/>
      <c r="K208" s="17"/>
    </row>
    <row r="209" spans="1:26" ht="15" customHeight="1" x14ac:dyDescent="0.2">
      <c r="A209" s="18" t="s">
        <v>50</v>
      </c>
      <c r="B209" s="24" t="s">
        <v>59</v>
      </c>
      <c r="C209" s="18" t="s">
        <v>27</v>
      </c>
      <c r="D209" s="20">
        <v>1015</v>
      </c>
      <c r="E209" s="18" t="s">
        <v>19</v>
      </c>
      <c r="F209" s="179"/>
      <c r="G209" s="131">
        <f>(F209)*$G$27</f>
        <v>0</v>
      </c>
      <c r="H209" s="106">
        <f t="shared" si="11"/>
        <v>0</v>
      </c>
      <c r="I209" s="32" t="s">
        <v>57</v>
      </c>
      <c r="J209" s="3"/>
      <c r="K209" s="17"/>
    </row>
    <row r="210" spans="1:26" ht="15" customHeight="1" x14ac:dyDescent="0.2">
      <c r="A210" s="18" t="s">
        <v>50</v>
      </c>
      <c r="B210" s="24" t="s">
        <v>59</v>
      </c>
      <c r="C210" s="18" t="s">
        <v>27</v>
      </c>
      <c r="D210" s="20">
        <v>1015</v>
      </c>
      <c r="E210" s="18" t="s">
        <v>174</v>
      </c>
      <c r="F210" s="179"/>
      <c r="G210" s="131">
        <f>(F210)*$G$27</f>
        <v>0</v>
      </c>
      <c r="H210" s="106">
        <f>(G210/G$26*H$26)*(1+$G$9)*(1+$G$11)*(1+$G$16)</f>
        <v>0</v>
      </c>
      <c r="I210" s="32" t="s">
        <v>57</v>
      </c>
      <c r="J210" s="3"/>
      <c r="K210" s="17"/>
    </row>
    <row r="211" spans="1:26" ht="15" customHeight="1" x14ac:dyDescent="0.2">
      <c r="A211" s="18" t="s">
        <v>50</v>
      </c>
      <c r="B211" s="24" t="s">
        <v>59</v>
      </c>
      <c r="C211" s="25" t="s">
        <v>28</v>
      </c>
      <c r="D211" s="26">
        <v>991</v>
      </c>
      <c r="E211" s="18" t="s">
        <v>29</v>
      </c>
      <c r="F211" s="179"/>
      <c r="G211" s="131">
        <f>(F211*1.1)*$E$27</f>
        <v>0</v>
      </c>
      <c r="H211" s="106">
        <f>G211*(1+$G$9)*(1+$G$11)*(1+$G$16)</f>
        <v>0</v>
      </c>
      <c r="I211" s="32" t="s">
        <v>57</v>
      </c>
      <c r="J211" s="3"/>
      <c r="K211" s="17"/>
    </row>
    <row r="212" spans="1:26" ht="15" customHeight="1" x14ac:dyDescent="0.2">
      <c r="A212" s="18" t="s">
        <v>50</v>
      </c>
      <c r="B212" s="24" t="s">
        <v>59</v>
      </c>
      <c r="C212" s="25" t="s">
        <v>143</v>
      </c>
      <c r="D212" s="26">
        <v>8920</v>
      </c>
      <c r="E212" s="18" t="s">
        <v>14</v>
      </c>
      <c r="F212" s="179"/>
      <c r="G212" s="131">
        <f>(F212)*$G$27</f>
        <v>0</v>
      </c>
      <c r="H212" s="106">
        <f>G212*(1+$G$9)*(1+$G$11)*(1+$G$16)</f>
        <v>0</v>
      </c>
      <c r="I212" s="32" t="s">
        <v>57</v>
      </c>
      <c r="J212" s="3"/>
      <c r="K212" s="17"/>
    </row>
    <row r="213" spans="1:26" ht="15" customHeight="1" x14ac:dyDescent="0.2">
      <c r="A213" s="18" t="s">
        <v>50</v>
      </c>
      <c r="B213" s="24" t="s">
        <v>59</v>
      </c>
      <c r="C213" s="25" t="s">
        <v>144</v>
      </c>
      <c r="D213" s="26">
        <v>9125</v>
      </c>
      <c r="E213" s="18" t="s">
        <v>14</v>
      </c>
      <c r="F213" s="179"/>
      <c r="G213" s="131">
        <f>(F213)*$I$27</f>
        <v>0</v>
      </c>
      <c r="H213" s="106">
        <f>G213*(1+$G$9)*(1+$G$11)*(1+$G$16)</f>
        <v>0</v>
      </c>
      <c r="I213" s="32" t="s">
        <v>57</v>
      </c>
      <c r="J213" s="3"/>
      <c r="K213" s="4"/>
      <c r="L213" s="84"/>
      <c r="M213" s="5"/>
      <c r="N213" s="29"/>
      <c r="R213" s="5"/>
      <c r="S213" s="5"/>
      <c r="T213" s="5"/>
      <c r="U213" s="5"/>
      <c r="V213" s="5"/>
      <c r="W213" s="5"/>
      <c r="X213" s="5"/>
      <c r="Y213" s="5"/>
      <c r="Z213" s="30"/>
    </row>
    <row r="214" spans="1:26" ht="15" customHeight="1" x14ac:dyDescent="0.2">
      <c r="A214" s="18" t="s">
        <v>50</v>
      </c>
      <c r="B214" s="24" t="s">
        <v>59</v>
      </c>
      <c r="C214" s="25" t="s">
        <v>30</v>
      </c>
      <c r="D214" s="26">
        <v>7556</v>
      </c>
      <c r="E214" s="18" t="s">
        <v>31</v>
      </c>
      <c r="F214" s="179"/>
      <c r="G214" s="131"/>
      <c r="H214" s="106">
        <f>G214*(1+$G$9)*(1+$G$11)*(1+$G$16)</f>
        <v>0</v>
      </c>
      <c r="I214" s="32" t="s">
        <v>57</v>
      </c>
      <c r="J214" s="3"/>
      <c r="K214" s="4"/>
      <c r="L214" s="84"/>
      <c r="M214" s="5"/>
      <c r="N214" s="29"/>
      <c r="R214" s="5"/>
      <c r="S214" s="5"/>
      <c r="T214" s="5"/>
      <c r="U214" s="5"/>
      <c r="V214" s="5"/>
      <c r="W214" s="5"/>
      <c r="X214" s="5"/>
      <c r="Y214" s="5"/>
      <c r="Z214" s="30"/>
    </row>
    <row r="215" spans="1:26" ht="15" customHeight="1" x14ac:dyDescent="0.2">
      <c r="A215" s="111"/>
      <c r="B215" s="112"/>
      <c r="C215" s="113"/>
      <c r="D215" s="114"/>
      <c r="E215" s="111"/>
      <c r="F215" s="182">
        <f>SUM(F191:F214)</f>
        <v>161585.69749999998</v>
      </c>
      <c r="G215" s="124">
        <f>SUM(G191:G214)</f>
        <v>2185772.1340000001</v>
      </c>
      <c r="H215" s="124">
        <f>SUM(H200:H214)</f>
        <v>2330467.5411130907</v>
      </c>
      <c r="I215" s="19"/>
      <c r="J215" s="3"/>
      <c r="K215" s="17"/>
    </row>
    <row r="216" spans="1:26" ht="15" customHeight="1" x14ac:dyDescent="0.2">
      <c r="A216" s="18" t="s">
        <v>50</v>
      </c>
      <c r="B216" s="24" t="s">
        <v>60</v>
      </c>
      <c r="C216" s="25" t="s">
        <v>61</v>
      </c>
      <c r="D216" s="26">
        <v>1018</v>
      </c>
      <c r="E216" s="18" t="s">
        <v>43</v>
      </c>
      <c r="F216" s="179"/>
      <c r="G216" s="131"/>
      <c r="H216" s="106">
        <f t="shared" ref="H216:H234" si="12">G216*(1+$G$9)*(1+$G$11)*(1+$G$16)</f>
        <v>0</v>
      </c>
      <c r="I216" s="19" t="s">
        <v>57</v>
      </c>
      <c r="J216" s="3"/>
      <c r="K216" s="17"/>
      <c r="N216" s="80"/>
    </row>
    <row r="217" spans="1:26" ht="15" customHeight="1" x14ac:dyDescent="0.2">
      <c r="A217" s="18" t="s">
        <v>50</v>
      </c>
      <c r="B217" s="24" t="s">
        <v>60</v>
      </c>
      <c r="C217" s="25" t="s">
        <v>16</v>
      </c>
      <c r="D217" s="26">
        <v>1020</v>
      </c>
      <c r="E217" s="18" t="s">
        <v>17</v>
      </c>
      <c r="F217" s="179"/>
      <c r="G217" s="131"/>
      <c r="H217" s="106">
        <f t="shared" si="12"/>
        <v>0</v>
      </c>
      <c r="I217" s="19" t="s">
        <v>57</v>
      </c>
      <c r="J217" s="3"/>
      <c r="K217" s="17"/>
    </row>
    <row r="218" spans="1:26" ht="15" customHeight="1" x14ac:dyDescent="0.2">
      <c r="A218" s="18" t="s">
        <v>50</v>
      </c>
      <c r="B218" s="24" t="s">
        <v>60</v>
      </c>
      <c r="C218" s="18" t="s">
        <v>18</v>
      </c>
      <c r="D218" s="20">
        <v>988</v>
      </c>
      <c r="E218" s="18" t="s">
        <v>19</v>
      </c>
      <c r="F218" s="179"/>
      <c r="G218" s="131"/>
      <c r="H218" s="106">
        <f t="shared" si="12"/>
        <v>0</v>
      </c>
      <c r="I218" s="19" t="s">
        <v>57</v>
      </c>
      <c r="J218" s="3"/>
      <c r="K218" s="17"/>
    </row>
    <row r="219" spans="1:26" ht="15" customHeight="1" x14ac:dyDescent="0.2">
      <c r="A219" s="18" t="s">
        <v>50</v>
      </c>
      <c r="B219" s="24" t="s">
        <v>60</v>
      </c>
      <c r="C219" s="25" t="s">
        <v>48</v>
      </c>
      <c r="D219" s="26">
        <v>1021</v>
      </c>
      <c r="E219" s="18" t="s">
        <v>22</v>
      </c>
      <c r="F219" s="179"/>
      <c r="G219" s="131"/>
      <c r="H219" s="106">
        <f t="shared" si="12"/>
        <v>0</v>
      </c>
      <c r="I219" s="19" t="s">
        <v>57</v>
      </c>
      <c r="J219" s="3"/>
      <c r="K219" s="17"/>
    </row>
    <row r="220" spans="1:26" ht="15" customHeight="1" x14ac:dyDescent="0.2">
      <c r="A220" s="18" t="s">
        <v>50</v>
      </c>
      <c r="B220" s="24" t="s">
        <v>60</v>
      </c>
      <c r="C220" s="25" t="s">
        <v>35</v>
      </c>
      <c r="D220" s="26">
        <v>1022</v>
      </c>
      <c r="E220" s="18" t="s">
        <v>26</v>
      </c>
      <c r="F220" s="179"/>
      <c r="G220" s="131"/>
      <c r="H220" s="106">
        <f t="shared" si="12"/>
        <v>0</v>
      </c>
      <c r="I220" s="19" t="s">
        <v>57</v>
      </c>
      <c r="J220" s="3"/>
      <c r="K220" s="17"/>
    </row>
    <row r="221" spans="1:26" ht="15" customHeight="1" x14ac:dyDescent="0.2">
      <c r="A221" s="18" t="s">
        <v>50</v>
      </c>
      <c r="B221" s="24" t="s">
        <v>60</v>
      </c>
      <c r="C221" s="18" t="s">
        <v>27</v>
      </c>
      <c r="D221" s="20">
        <v>1023</v>
      </c>
      <c r="E221" s="18" t="s">
        <v>19</v>
      </c>
      <c r="F221" s="179"/>
      <c r="G221" s="131"/>
      <c r="H221" s="106">
        <f t="shared" si="12"/>
        <v>0</v>
      </c>
      <c r="I221" s="19" t="s">
        <v>57</v>
      </c>
      <c r="J221" s="3"/>
      <c r="K221" s="17"/>
    </row>
    <row r="222" spans="1:26" ht="15" customHeight="1" x14ac:dyDescent="0.2">
      <c r="A222" s="18" t="s">
        <v>50</v>
      </c>
      <c r="B222" s="24" t="s">
        <v>60</v>
      </c>
      <c r="C222" s="25" t="s">
        <v>28</v>
      </c>
      <c r="D222" s="26">
        <v>993</v>
      </c>
      <c r="E222" s="18" t="s">
        <v>29</v>
      </c>
      <c r="F222" s="179"/>
      <c r="G222" s="131"/>
      <c r="H222" s="106">
        <f t="shared" si="12"/>
        <v>0</v>
      </c>
      <c r="I222" s="19" t="s">
        <v>57</v>
      </c>
      <c r="J222" s="3"/>
      <c r="K222" s="17"/>
    </row>
    <row r="223" spans="1:26" ht="15" customHeight="1" x14ac:dyDescent="0.2">
      <c r="A223" s="18" t="s">
        <v>50</v>
      </c>
      <c r="B223" s="24" t="s">
        <v>60</v>
      </c>
      <c r="C223" s="25" t="s">
        <v>143</v>
      </c>
      <c r="D223" s="26">
        <v>8921</v>
      </c>
      <c r="E223" s="18" t="s">
        <v>14</v>
      </c>
      <c r="F223" s="179"/>
      <c r="G223" s="131"/>
      <c r="H223" s="106">
        <f t="shared" si="12"/>
        <v>0</v>
      </c>
      <c r="I223" s="19" t="s">
        <v>57</v>
      </c>
      <c r="J223" s="3"/>
      <c r="K223" s="17"/>
    </row>
    <row r="224" spans="1:26" ht="15" customHeight="1" x14ac:dyDescent="0.2">
      <c r="A224" s="18" t="s">
        <v>50</v>
      </c>
      <c r="B224" s="24" t="s">
        <v>60</v>
      </c>
      <c r="C224" s="25" t="s">
        <v>144</v>
      </c>
      <c r="D224" s="26">
        <v>9126</v>
      </c>
      <c r="E224" s="18" t="s">
        <v>14</v>
      </c>
      <c r="F224" s="179"/>
      <c r="G224" s="131">
        <f>(F224)*$I$27</f>
        <v>0</v>
      </c>
      <c r="H224" s="106">
        <f t="shared" si="12"/>
        <v>0</v>
      </c>
      <c r="I224" s="19" t="s">
        <v>57</v>
      </c>
      <c r="J224" s="3"/>
      <c r="K224" s="4"/>
      <c r="L224" s="84"/>
      <c r="M224" s="5"/>
      <c r="N224" s="29"/>
      <c r="R224" s="5"/>
      <c r="S224" s="5"/>
      <c r="T224" s="5"/>
      <c r="U224" s="5"/>
      <c r="V224" s="5"/>
      <c r="W224" s="5"/>
      <c r="X224" s="5"/>
      <c r="Y224" s="5"/>
      <c r="Z224" s="30"/>
    </row>
    <row r="225" spans="1:26" ht="15" customHeight="1" x14ac:dyDescent="0.2">
      <c r="A225" s="18" t="s">
        <v>50</v>
      </c>
      <c r="B225" s="24" t="s">
        <v>60</v>
      </c>
      <c r="C225" s="25" t="s">
        <v>30</v>
      </c>
      <c r="D225" s="26">
        <v>1024</v>
      </c>
      <c r="E225" s="18" t="s">
        <v>31</v>
      </c>
      <c r="F225" s="179"/>
      <c r="G225" s="131"/>
      <c r="H225" s="106">
        <f t="shared" si="12"/>
        <v>0</v>
      </c>
      <c r="I225" s="19" t="s">
        <v>57</v>
      </c>
      <c r="J225" s="3"/>
      <c r="K225" s="4"/>
      <c r="L225" s="84"/>
      <c r="M225" s="5"/>
      <c r="N225" s="29"/>
      <c r="R225" s="5"/>
      <c r="S225" s="5"/>
      <c r="T225" s="5"/>
      <c r="U225" s="5"/>
      <c r="V225" s="5"/>
      <c r="W225" s="5"/>
      <c r="X225" s="5"/>
      <c r="Y225" s="5"/>
      <c r="Z225" s="30"/>
    </row>
    <row r="226" spans="1:26" ht="15" customHeight="1" x14ac:dyDescent="0.2">
      <c r="A226" s="111"/>
      <c r="B226" s="112"/>
      <c r="C226" s="113"/>
      <c r="D226" s="114"/>
      <c r="E226" s="111"/>
      <c r="F226" s="180">
        <f>SUM(F216:F225)</f>
        <v>0</v>
      </c>
      <c r="G226" s="123">
        <f>SUM(G216:G225)</f>
        <v>0</v>
      </c>
      <c r="H226" s="106">
        <f t="shared" si="12"/>
        <v>0</v>
      </c>
      <c r="I226" s="19"/>
      <c r="J226" s="3"/>
      <c r="K226" s="17"/>
    </row>
    <row r="227" spans="1:26" ht="15" customHeight="1" x14ac:dyDescent="0.2">
      <c r="A227" s="18" t="s">
        <v>50</v>
      </c>
      <c r="B227" s="24" t="s">
        <v>62</v>
      </c>
      <c r="C227" s="25" t="s">
        <v>16</v>
      </c>
      <c r="D227" s="26"/>
      <c r="E227" s="18" t="s">
        <v>17</v>
      </c>
      <c r="F227" s="179"/>
      <c r="G227" s="131"/>
      <c r="H227" s="106">
        <f t="shared" si="12"/>
        <v>0</v>
      </c>
      <c r="I227" s="32">
        <v>1025</v>
      </c>
      <c r="J227" s="3"/>
      <c r="K227" s="17"/>
    </row>
    <row r="228" spans="1:26" ht="15" customHeight="1" x14ac:dyDescent="0.2">
      <c r="A228" s="18"/>
      <c r="B228" s="24"/>
      <c r="C228" s="25"/>
      <c r="D228" s="26"/>
      <c r="E228" s="18"/>
      <c r="F228" s="179"/>
      <c r="G228" s="131"/>
      <c r="H228" s="106">
        <f t="shared" si="12"/>
        <v>0</v>
      </c>
      <c r="I228" s="32"/>
      <c r="J228" s="3"/>
      <c r="K228" s="17"/>
    </row>
    <row r="229" spans="1:26" ht="15" customHeight="1" x14ac:dyDescent="0.2">
      <c r="A229" s="18" t="s">
        <v>50</v>
      </c>
      <c r="B229" s="24" t="s">
        <v>63</v>
      </c>
      <c r="C229" s="25" t="s">
        <v>61</v>
      </c>
      <c r="D229" s="26">
        <v>1110</v>
      </c>
      <c r="E229" s="18" t="s">
        <v>43</v>
      </c>
      <c r="F229" s="179"/>
      <c r="G229" s="131">
        <f>(F229)*$G$27</f>
        <v>0</v>
      </c>
      <c r="H229" s="106">
        <f t="shared" si="12"/>
        <v>0</v>
      </c>
      <c r="I229" s="19" t="s">
        <v>53</v>
      </c>
      <c r="J229" s="3"/>
      <c r="K229" s="17"/>
    </row>
    <row r="230" spans="1:26" ht="15" customHeight="1" x14ac:dyDescent="0.2">
      <c r="A230" s="18" t="s">
        <v>50</v>
      </c>
      <c r="B230" s="24" t="s">
        <v>63</v>
      </c>
      <c r="C230" s="25" t="s">
        <v>16</v>
      </c>
      <c r="D230" s="26">
        <v>1115</v>
      </c>
      <c r="E230" s="18" t="s">
        <v>17</v>
      </c>
      <c r="F230" s="179">
        <v>24360.55</v>
      </c>
      <c r="G230" s="131">
        <f>(F230)*$G$27</f>
        <v>331303.48</v>
      </c>
      <c r="H230" s="106">
        <f t="shared" si="12"/>
        <v>343197.27493199997</v>
      </c>
      <c r="I230" s="19" t="s">
        <v>53</v>
      </c>
      <c r="J230" s="3"/>
      <c r="K230" s="17"/>
    </row>
    <row r="231" spans="1:26" ht="15" customHeight="1" x14ac:dyDescent="0.2">
      <c r="A231" s="18" t="s">
        <v>50</v>
      </c>
      <c r="B231" s="24" t="s">
        <v>63</v>
      </c>
      <c r="C231" s="25" t="s">
        <v>16</v>
      </c>
      <c r="D231" s="26">
        <v>1113</v>
      </c>
      <c r="E231" s="18" t="s">
        <v>17</v>
      </c>
      <c r="F231" s="179"/>
      <c r="G231" s="131">
        <f>(F231)*$G$27</f>
        <v>0</v>
      </c>
      <c r="H231" s="106">
        <f t="shared" si="12"/>
        <v>0</v>
      </c>
      <c r="I231" s="32" t="s">
        <v>56</v>
      </c>
      <c r="J231" s="3"/>
      <c r="K231" s="17"/>
    </row>
    <row r="232" spans="1:26" ht="15" customHeight="1" x14ac:dyDescent="0.2">
      <c r="A232" s="18" t="s">
        <v>50</v>
      </c>
      <c r="B232" s="24" t="s">
        <v>63</v>
      </c>
      <c r="C232" s="25" t="s">
        <v>21</v>
      </c>
      <c r="D232" s="26">
        <v>1116</v>
      </c>
      <c r="E232" s="18"/>
      <c r="F232" s="179"/>
      <c r="G232" s="131">
        <f>(F232)*$G$27</f>
        <v>0</v>
      </c>
      <c r="H232" s="106">
        <f t="shared" si="12"/>
        <v>0</v>
      </c>
      <c r="I232" s="19" t="s">
        <v>53</v>
      </c>
      <c r="J232" s="3"/>
      <c r="K232" s="17"/>
    </row>
    <row r="233" spans="1:26" ht="15" customHeight="1" x14ac:dyDescent="0.2">
      <c r="A233" s="18" t="s">
        <v>50</v>
      </c>
      <c r="B233" s="24" t="s">
        <v>63</v>
      </c>
      <c r="C233" s="25" t="s">
        <v>35</v>
      </c>
      <c r="D233" s="26">
        <v>1118</v>
      </c>
      <c r="E233" s="18" t="s">
        <v>26</v>
      </c>
      <c r="F233" s="179"/>
      <c r="G233" s="131">
        <f>F233</f>
        <v>0</v>
      </c>
      <c r="H233" s="106">
        <f t="shared" si="12"/>
        <v>0</v>
      </c>
      <c r="I233" s="19" t="s">
        <v>53</v>
      </c>
      <c r="J233" s="3"/>
      <c r="K233" s="17"/>
    </row>
    <row r="234" spans="1:26" ht="15" customHeight="1" x14ac:dyDescent="0.2">
      <c r="A234" s="18" t="s">
        <v>50</v>
      </c>
      <c r="B234" s="24" t="s">
        <v>63</v>
      </c>
      <c r="C234" s="18" t="s">
        <v>172</v>
      </c>
      <c r="D234" s="20">
        <v>1120</v>
      </c>
      <c r="E234" s="18" t="s">
        <v>19</v>
      </c>
      <c r="F234" s="179">
        <f>42497.7/4-F235</f>
        <v>4007.9849999999997</v>
      </c>
      <c r="G234" s="131">
        <f>(F234)*$G$27</f>
        <v>54508.595999999998</v>
      </c>
      <c r="H234" s="106">
        <f t="shared" si="12"/>
        <v>56465.454596399999</v>
      </c>
      <c r="I234" s="19" t="s">
        <v>53</v>
      </c>
      <c r="J234" s="3"/>
      <c r="K234" s="17"/>
    </row>
    <row r="235" spans="1:26" ht="15" customHeight="1" x14ac:dyDescent="0.2">
      <c r="A235" s="18" t="s">
        <v>50</v>
      </c>
      <c r="B235" s="24" t="s">
        <v>63</v>
      </c>
      <c r="C235" s="18" t="s">
        <v>173</v>
      </c>
      <c r="D235" s="20">
        <v>1120</v>
      </c>
      <c r="E235" s="18" t="s">
        <v>174</v>
      </c>
      <c r="F235" s="179">
        <f>26465.76/4</f>
        <v>6616.44</v>
      </c>
      <c r="G235" s="131">
        <f>(F235)*$G$27</f>
        <v>89983.583999999988</v>
      </c>
      <c r="H235" s="106">
        <f>(G235/G$26*H$26)*(1+$G$9)*(1+$G$11)*(1+$G$16)</f>
        <v>112986.66020072726</v>
      </c>
      <c r="I235" s="19" t="s">
        <v>53</v>
      </c>
      <c r="J235" s="3"/>
      <c r="K235" s="17"/>
    </row>
    <row r="236" spans="1:26" ht="15" customHeight="1" x14ac:dyDescent="0.2">
      <c r="A236" s="18" t="s">
        <v>50</v>
      </c>
      <c r="B236" s="24" t="s">
        <v>63</v>
      </c>
      <c r="C236" s="25" t="s">
        <v>143</v>
      </c>
      <c r="D236" s="26">
        <v>8922</v>
      </c>
      <c r="E236" s="18" t="s">
        <v>14</v>
      </c>
      <c r="F236" s="179"/>
      <c r="G236" s="131">
        <f>(F236)*$G$27</f>
        <v>0</v>
      </c>
      <c r="H236" s="106">
        <f>G236*(1+$G$9)*(1+$G$11)*(1+$G$16)</f>
        <v>0</v>
      </c>
      <c r="I236" s="19" t="s">
        <v>53</v>
      </c>
      <c r="J236" s="3"/>
      <c r="K236" s="17"/>
    </row>
    <row r="237" spans="1:26" ht="15" customHeight="1" x14ac:dyDescent="0.2">
      <c r="A237" s="18" t="s">
        <v>50</v>
      </c>
      <c r="B237" s="24" t="s">
        <v>63</v>
      </c>
      <c r="C237" s="25" t="s">
        <v>144</v>
      </c>
      <c r="D237" s="26">
        <v>9127</v>
      </c>
      <c r="E237" s="18" t="s">
        <v>14</v>
      </c>
      <c r="F237" s="179">
        <v>516.46</v>
      </c>
      <c r="G237" s="131">
        <f>(F237)*$I$27</f>
        <v>6197.52</v>
      </c>
      <c r="H237" s="106">
        <f>G237*(1+$G$9)*(1+$G$11)*(1+$G$16)</f>
        <v>6420.0109680000005</v>
      </c>
      <c r="I237" s="19" t="s">
        <v>53</v>
      </c>
      <c r="J237" s="3"/>
      <c r="K237" s="4"/>
      <c r="L237" s="84"/>
      <c r="M237" s="5"/>
      <c r="N237" s="29"/>
      <c r="R237" s="5"/>
      <c r="S237" s="5"/>
      <c r="T237" s="5"/>
      <c r="U237" s="5"/>
      <c r="V237" s="5"/>
      <c r="W237" s="5"/>
      <c r="X237" s="5"/>
      <c r="Y237" s="5"/>
      <c r="Z237" s="30"/>
    </row>
    <row r="238" spans="1:26" ht="15" customHeight="1" x14ac:dyDescent="0.2">
      <c r="A238" s="18"/>
      <c r="B238" s="24"/>
      <c r="C238" s="25"/>
      <c r="D238" s="26"/>
      <c r="E238" s="18"/>
      <c r="F238" s="179"/>
      <c r="G238" s="131"/>
      <c r="H238" s="106">
        <f>SUM(H230:H237)</f>
        <v>519069.40069712728</v>
      </c>
      <c r="I238" s="21">
        <f>SUM(H238:H238)</f>
        <v>519069.40069712728</v>
      </c>
      <c r="J238" s="3"/>
      <c r="K238" s="4"/>
      <c r="L238" s="84"/>
      <c r="M238" s="5"/>
      <c r="N238" s="29"/>
      <c r="R238" s="5"/>
      <c r="S238" s="5"/>
      <c r="T238" s="5"/>
      <c r="U238" s="5"/>
      <c r="V238" s="5"/>
      <c r="W238" s="5"/>
      <c r="X238" s="5"/>
      <c r="Y238" s="5"/>
      <c r="Z238" s="30"/>
    </row>
    <row r="239" spans="1:26" ht="15" customHeight="1" x14ac:dyDescent="0.2">
      <c r="A239" s="18" t="s">
        <v>50</v>
      </c>
      <c r="B239" s="24" t="s">
        <v>63</v>
      </c>
      <c r="C239" s="25" t="s">
        <v>28</v>
      </c>
      <c r="D239" s="26">
        <v>1107</v>
      </c>
      <c r="E239" s="18" t="s">
        <v>29</v>
      </c>
      <c r="F239" s="179">
        <v>1496.9</v>
      </c>
      <c r="G239" s="131">
        <f>(F239*1.1)*$E$27</f>
        <v>19759.080000000002</v>
      </c>
      <c r="H239" s="106">
        <f t="shared" ref="H239:H251" si="13">G239*(1+$G$9)*(1+$G$11)*(1+$G$16)</f>
        <v>20468.430972000002</v>
      </c>
      <c r="I239" s="19" t="s">
        <v>53</v>
      </c>
      <c r="J239" s="3" t="s">
        <v>186</v>
      </c>
      <c r="K239" s="17"/>
    </row>
    <row r="240" spans="1:26" ht="15" customHeight="1" x14ac:dyDescent="0.2">
      <c r="A240" s="18" t="s">
        <v>50</v>
      </c>
      <c r="B240" s="24" t="s">
        <v>63</v>
      </c>
      <c r="C240" s="18" t="s">
        <v>38</v>
      </c>
      <c r="D240" s="20">
        <v>1103</v>
      </c>
      <c r="E240" s="18" t="s">
        <v>19</v>
      </c>
      <c r="F240" s="179"/>
      <c r="G240" s="131">
        <f>(F240)*$G$27</f>
        <v>0</v>
      </c>
      <c r="H240" s="106">
        <f t="shared" si="13"/>
        <v>0</v>
      </c>
      <c r="I240" s="19" t="s">
        <v>53</v>
      </c>
      <c r="J240" s="3"/>
      <c r="K240" s="17"/>
    </row>
    <row r="241" spans="1:26" ht="15" customHeight="1" x14ac:dyDescent="0.2">
      <c r="A241" s="18" t="s">
        <v>50</v>
      </c>
      <c r="B241" s="24" t="s">
        <v>63</v>
      </c>
      <c r="C241" s="25" t="s">
        <v>30</v>
      </c>
      <c r="D241" s="26">
        <v>1121</v>
      </c>
      <c r="E241" s="18" t="s">
        <v>31</v>
      </c>
      <c r="F241" s="179"/>
      <c r="G241" s="131"/>
      <c r="H241" s="106">
        <f t="shared" si="13"/>
        <v>0</v>
      </c>
      <c r="I241" s="19" t="s">
        <v>53</v>
      </c>
      <c r="J241" s="3"/>
      <c r="K241" s="4"/>
      <c r="L241" s="84"/>
      <c r="M241" s="5"/>
      <c r="N241" s="29"/>
      <c r="R241" s="5"/>
      <c r="S241" s="5"/>
      <c r="T241" s="5"/>
      <c r="U241" s="5"/>
      <c r="V241" s="5"/>
      <c r="W241" s="5"/>
      <c r="X241" s="5"/>
      <c r="Y241" s="5"/>
      <c r="Z241" s="30"/>
    </row>
    <row r="242" spans="1:26" ht="15" customHeight="1" x14ac:dyDescent="0.2">
      <c r="A242" s="18" t="s">
        <v>50</v>
      </c>
      <c r="B242" s="24" t="s">
        <v>63</v>
      </c>
      <c r="C242" s="25" t="s">
        <v>61</v>
      </c>
      <c r="D242" s="26">
        <v>7557</v>
      </c>
      <c r="E242" s="18" t="s">
        <v>43</v>
      </c>
      <c r="F242" s="179"/>
      <c r="G242" s="131">
        <f t="shared" ref="G242:G247" si="14">(F242)*$G$27</f>
        <v>0</v>
      </c>
      <c r="H242" s="106">
        <f t="shared" si="13"/>
        <v>0</v>
      </c>
      <c r="I242" s="32" t="s">
        <v>57</v>
      </c>
      <c r="J242" s="3"/>
      <c r="K242" s="17"/>
    </row>
    <row r="243" spans="1:26" ht="15" customHeight="1" x14ac:dyDescent="0.2">
      <c r="A243" s="18" t="s">
        <v>50</v>
      </c>
      <c r="B243" s="24" t="s">
        <v>63</v>
      </c>
      <c r="C243" s="25" t="s">
        <v>16</v>
      </c>
      <c r="D243" s="26">
        <v>1114</v>
      </c>
      <c r="E243" s="18" t="s">
        <v>17</v>
      </c>
      <c r="F243" s="179"/>
      <c r="G243" s="131">
        <f t="shared" si="14"/>
        <v>0</v>
      </c>
      <c r="H243" s="106">
        <f t="shared" si="13"/>
        <v>0</v>
      </c>
      <c r="I243" s="32" t="s">
        <v>57</v>
      </c>
      <c r="J243" s="3"/>
      <c r="K243" s="17"/>
    </row>
    <row r="244" spans="1:26" ht="15" customHeight="1" x14ac:dyDescent="0.2">
      <c r="A244" s="18" t="s">
        <v>50</v>
      </c>
      <c r="B244" s="24" t="s">
        <v>63</v>
      </c>
      <c r="C244" s="18" t="s">
        <v>38</v>
      </c>
      <c r="D244" s="20">
        <v>1102</v>
      </c>
      <c r="E244" s="18" t="s">
        <v>19</v>
      </c>
      <c r="F244" s="179"/>
      <c r="G244" s="131">
        <f t="shared" si="14"/>
        <v>0</v>
      </c>
      <c r="H244" s="106">
        <f t="shared" si="13"/>
        <v>0</v>
      </c>
      <c r="I244" s="32" t="s">
        <v>57</v>
      </c>
      <c r="J244" s="3"/>
      <c r="K244" s="17"/>
    </row>
    <row r="245" spans="1:26" ht="15" customHeight="1" x14ac:dyDescent="0.2">
      <c r="A245" s="18" t="s">
        <v>50</v>
      </c>
      <c r="B245" s="24" t="s">
        <v>63</v>
      </c>
      <c r="C245" s="25" t="s">
        <v>21</v>
      </c>
      <c r="D245" s="26">
        <v>8923</v>
      </c>
      <c r="E245" s="18"/>
      <c r="F245" s="179"/>
      <c r="G245" s="131">
        <f t="shared" si="14"/>
        <v>0</v>
      </c>
      <c r="H245" s="106">
        <f t="shared" si="13"/>
        <v>0</v>
      </c>
      <c r="I245" s="19" t="s">
        <v>53</v>
      </c>
      <c r="J245" s="3"/>
      <c r="K245" s="17"/>
    </row>
    <row r="246" spans="1:26" ht="15" customHeight="1" x14ac:dyDescent="0.2">
      <c r="A246" s="18" t="s">
        <v>50</v>
      </c>
      <c r="B246" s="24" t="s">
        <v>63</v>
      </c>
      <c r="C246" s="25" t="s">
        <v>35</v>
      </c>
      <c r="D246" s="26">
        <v>1117</v>
      </c>
      <c r="E246" s="18" t="s">
        <v>26</v>
      </c>
      <c r="F246" s="179"/>
      <c r="G246" s="131">
        <f t="shared" si="14"/>
        <v>0</v>
      </c>
      <c r="H246" s="106">
        <f t="shared" si="13"/>
        <v>0</v>
      </c>
      <c r="I246" s="32" t="s">
        <v>57</v>
      </c>
      <c r="J246" s="3"/>
      <c r="K246" s="17"/>
    </row>
    <row r="247" spans="1:26" ht="15" customHeight="1" x14ac:dyDescent="0.2">
      <c r="A247" s="18" t="s">
        <v>50</v>
      </c>
      <c r="B247" s="24" t="s">
        <v>63</v>
      </c>
      <c r="C247" s="18" t="s">
        <v>27</v>
      </c>
      <c r="D247" s="20">
        <v>1119</v>
      </c>
      <c r="E247" s="18" t="s">
        <v>19</v>
      </c>
      <c r="F247" s="179"/>
      <c r="G247" s="131">
        <f t="shared" si="14"/>
        <v>0</v>
      </c>
      <c r="H247" s="106">
        <f t="shared" si="13"/>
        <v>0</v>
      </c>
      <c r="I247" s="32" t="s">
        <v>57</v>
      </c>
      <c r="J247" s="3"/>
      <c r="K247" s="17"/>
    </row>
    <row r="248" spans="1:26" ht="15" customHeight="1" x14ac:dyDescent="0.2">
      <c r="A248" s="18" t="s">
        <v>50</v>
      </c>
      <c r="B248" s="24" t="s">
        <v>63</v>
      </c>
      <c r="C248" s="25" t="s">
        <v>28</v>
      </c>
      <c r="D248" s="26">
        <v>1106</v>
      </c>
      <c r="E248" s="18" t="s">
        <v>29</v>
      </c>
      <c r="F248" s="179"/>
      <c r="G248" s="131">
        <f>(F248*1.1)*$E$27</f>
        <v>0</v>
      </c>
      <c r="H248" s="106">
        <f t="shared" si="13"/>
        <v>0</v>
      </c>
      <c r="I248" s="32" t="s">
        <v>57</v>
      </c>
      <c r="J248" s="3"/>
      <c r="K248" s="17"/>
    </row>
    <row r="249" spans="1:26" ht="15" customHeight="1" x14ac:dyDescent="0.2">
      <c r="A249" s="18" t="s">
        <v>50</v>
      </c>
      <c r="B249" s="24" t="s">
        <v>63</v>
      </c>
      <c r="C249" s="25" t="s">
        <v>143</v>
      </c>
      <c r="D249" s="26">
        <v>8924</v>
      </c>
      <c r="E249" s="18" t="s">
        <v>14</v>
      </c>
      <c r="F249" s="179"/>
      <c r="G249" s="131">
        <f>(F249)*$G$27</f>
        <v>0</v>
      </c>
      <c r="H249" s="106">
        <f t="shared" si="13"/>
        <v>0</v>
      </c>
      <c r="I249" s="32" t="s">
        <v>57</v>
      </c>
      <c r="J249" s="3"/>
      <c r="K249" s="17"/>
    </row>
    <row r="250" spans="1:26" ht="15" customHeight="1" x14ac:dyDescent="0.2">
      <c r="A250" s="18" t="s">
        <v>50</v>
      </c>
      <c r="B250" s="24" t="s">
        <v>63</v>
      </c>
      <c r="C250" s="25" t="s">
        <v>144</v>
      </c>
      <c r="D250" s="26">
        <v>9128</v>
      </c>
      <c r="E250" s="18" t="s">
        <v>14</v>
      </c>
      <c r="F250" s="179"/>
      <c r="G250" s="131">
        <f>(F250)*$I$27</f>
        <v>0</v>
      </c>
      <c r="H250" s="106">
        <f t="shared" si="13"/>
        <v>0</v>
      </c>
      <c r="I250" s="32" t="s">
        <v>57</v>
      </c>
      <c r="J250" s="3"/>
      <c r="K250" s="4"/>
      <c r="L250" s="84"/>
      <c r="M250" s="5"/>
      <c r="N250" s="29"/>
      <c r="R250" s="5"/>
      <c r="S250" s="5"/>
      <c r="T250" s="5"/>
      <c r="U250" s="5"/>
      <c r="V250" s="5"/>
      <c r="W250" s="5"/>
      <c r="X250" s="5"/>
      <c r="Y250" s="5"/>
      <c r="Z250" s="30"/>
    </row>
    <row r="251" spans="1:26" ht="15" customHeight="1" x14ac:dyDescent="0.2">
      <c r="A251" s="18" t="s">
        <v>50</v>
      </c>
      <c r="B251" s="24" t="s">
        <v>63</v>
      </c>
      <c r="C251" s="25" t="s">
        <v>30</v>
      </c>
      <c r="D251" s="26">
        <v>7558</v>
      </c>
      <c r="E251" s="18" t="s">
        <v>31</v>
      </c>
      <c r="F251" s="179"/>
      <c r="G251" s="131"/>
      <c r="H251" s="106">
        <f t="shared" si="13"/>
        <v>0</v>
      </c>
      <c r="I251" s="32" t="s">
        <v>57</v>
      </c>
      <c r="J251" s="3"/>
      <c r="K251" s="4"/>
      <c r="L251" s="84"/>
      <c r="M251" s="5"/>
      <c r="N251" s="29"/>
      <c r="R251" s="5"/>
      <c r="S251" s="5"/>
      <c r="T251" s="5"/>
      <c r="U251" s="5"/>
      <c r="V251" s="5"/>
      <c r="W251" s="5"/>
      <c r="X251" s="5"/>
      <c r="Y251" s="5"/>
      <c r="Z251" s="30"/>
    </row>
    <row r="252" spans="1:26" ht="15" customHeight="1" x14ac:dyDescent="0.2">
      <c r="A252" s="111"/>
      <c r="B252" s="112"/>
      <c r="C252" s="113"/>
      <c r="D252" s="114"/>
      <c r="E252" s="111"/>
      <c r="F252" s="180">
        <f>SUM(F229:F251)</f>
        <v>36998.334999999999</v>
      </c>
      <c r="G252" s="123">
        <f>SUM(G229:G251)</f>
        <v>501752.26</v>
      </c>
      <c r="H252" s="123">
        <f>SUM(H238:H251)</f>
        <v>539537.83166912734</v>
      </c>
      <c r="I252" s="19"/>
      <c r="J252" s="3"/>
      <c r="K252" s="17"/>
    </row>
    <row r="253" spans="1:26" ht="15" customHeight="1" x14ac:dyDescent="0.2">
      <c r="A253" s="18" t="s">
        <v>50</v>
      </c>
      <c r="B253" s="24" t="s">
        <v>64</v>
      </c>
      <c r="C253" s="25" t="s">
        <v>61</v>
      </c>
      <c r="D253" s="26">
        <v>1122</v>
      </c>
      <c r="E253" s="18" t="s">
        <v>43</v>
      </c>
      <c r="F253" s="179"/>
      <c r="G253" s="131">
        <f>(F253)*$G$27</f>
        <v>0</v>
      </c>
      <c r="H253" s="106">
        <f t="shared" ref="H253:H258" si="15">G253*(1+$G$9)*(1+$G$11)*(1+$G$16)</f>
        <v>0</v>
      </c>
      <c r="I253" s="19" t="s">
        <v>53</v>
      </c>
      <c r="J253" s="3"/>
      <c r="K253" s="17"/>
    </row>
    <row r="254" spans="1:26" ht="15" customHeight="1" x14ac:dyDescent="0.2">
      <c r="A254" s="18" t="s">
        <v>50</v>
      </c>
      <c r="B254" s="24" t="s">
        <v>64</v>
      </c>
      <c r="C254" s="25" t="s">
        <v>16</v>
      </c>
      <c r="D254" s="26">
        <v>1127</v>
      </c>
      <c r="E254" s="18" t="s">
        <v>17</v>
      </c>
      <c r="F254" s="179">
        <f>7230.37-702.25</f>
        <v>6528.12</v>
      </c>
      <c r="G254" s="131">
        <f>(F254)*$G$27</f>
        <v>88782.432000000001</v>
      </c>
      <c r="H254" s="106">
        <f t="shared" si="15"/>
        <v>91969.721308799999</v>
      </c>
      <c r="I254" s="19" t="s">
        <v>53</v>
      </c>
      <c r="J254" s="3"/>
      <c r="K254" s="17"/>
    </row>
    <row r="255" spans="1:26" ht="15" customHeight="1" x14ac:dyDescent="0.2">
      <c r="A255" s="18" t="s">
        <v>50</v>
      </c>
      <c r="B255" s="24" t="s">
        <v>64</v>
      </c>
      <c r="C255" s="25" t="s">
        <v>16</v>
      </c>
      <c r="D255" s="26">
        <v>1125</v>
      </c>
      <c r="E255" s="18" t="s">
        <v>17</v>
      </c>
      <c r="F255" s="179"/>
      <c r="G255" s="131">
        <f>(F255)*$G$27</f>
        <v>0</v>
      </c>
      <c r="H255" s="106">
        <f t="shared" si="15"/>
        <v>0</v>
      </c>
      <c r="I255" s="32" t="s">
        <v>56</v>
      </c>
      <c r="J255" s="3"/>
      <c r="K255" s="17"/>
    </row>
    <row r="256" spans="1:26" ht="15" customHeight="1" x14ac:dyDescent="0.2">
      <c r="A256" s="18" t="s">
        <v>50</v>
      </c>
      <c r="B256" s="24" t="s">
        <v>64</v>
      </c>
      <c r="C256" s="25" t="s">
        <v>21</v>
      </c>
      <c r="D256" s="26">
        <v>1128</v>
      </c>
      <c r="E256" s="18"/>
      <c r="F256" s="179"/>
      <c r="G256" s="131">
        <f>(F256)*$G$27</f>
        <v>0</v>
      </c>
      <c r="H256" s="106">
        <f t="shared" si="15"/>
        <v>0</v>
      </c>
      <c r="I256" s="19" t="s">
        <v>53</v>
      </c>
      <c r="J256" s="3"/>
      <c r="K256" s="17"/>
    </row>
    <row r="257" spans="1:26" ht="15" customHeight="1" x14ac:dyDescent="0.2">
      <c r="A257" s="18" t="s">
        <v>50</v>
      </c>
      <c r="B257" s="24" t="s">
        <v>64</v>
      </c>
      <c r="C257" s="25" t="s">
        <v>35</v>
      </c>
      <c r="D257" s="26">
        <v>1130</v>
      </c>
      <c r="E257" s="18" t="s">
        <v>26</v>
      </c>
      <c r="F257" s="179"/>
      <c r="G257" s="131">
        <f>F257</f>
        <v>0</v>
      </c>
      <c r="H257" s="106">
        <f t="shared" si="15"/>
        <v>0</v>
      </c>
      <c r="I257" s="19" t="s">
        <v>53</v>
      </c>
      <c r="J257" s="3"/>
      <c r="K257" s="17"/>
    </row>
    <row r="258" spans="1:26" ht="15" customHeight="1" x14ac:dyDescent="0.2">
      <c r="A258" s="18" t="s">
        <v>50</v>
      </c>
      <c r="B258" s="24" t="s">
        <v>64</v>
      </c>
      <c r="C258" s="18" t="s">
        <v>172</v>
      </c>
      <c r="D258" s="20">
        <v>1132</v>
      </c>
      <c r="E258" s="18" t="s">
        <v>19</v>
      </c>
      <c r="F258" s="179">
        <f>13959.49/4-F259</f>
        <v>1316.5324999999998</v>
      </c>
      <c r="G258" s="131">
        <f>(F258)*$G$27</f>
        <v>17904.841999999997</v>
      </c>
      <c r="H258" s="106">
        <f t="shared" si="15"/>
        <v>18547.625827799999</v>
      </c>
      <c r="I258" s="19" t="s">
        <v>53</v>
      </c>
      <c r="J258" s="3"/>
      <c r="K258" s="17"/>
    </row>
    <row r="259" spans="1:26" ht="15" customHeight="1" x14ac:dyDescent="0.2">
      <c r="A259" s="18" t="s">
        <v>50</v>
      </c>
      <c r="B259" s="24" t="s">
        <v>64</v>
      </c>
      <c r="C259" s="18" t="s">
        <v>173</v>
      </c>
      <c r="D259" s="20">
        <v>1132</v>
      </c>
      <c r="E259" s="18" t="s">
        <v>174</v>
      </c>
      <c r="F259" s="179">
        <f>8693.36/4</f>
        <v>2173.34</v>
      </c>
      <c r="G259" s="131">
        <f>(F259)*$G$27</f>
        <v>29557.424000000003</v>
      </c>
      <c r="H259" s="106">
        <f>(G259/G$26*H$26)*(1+$G$9)*(1+$G$11)*(1+$G$16)</f>
        <v>37113.376389818186</v>
      </c>
      <c r="I259" s="19" t="s">
        <v>53</v>
      </c>
      <c r="J259" s="3"/>
      <c r="K259" s="17"/>
    </row>
    <row r="260" spans="1:26" ht="15" customHeight="1" x14ac:dyDescent="0.2">
      <c r="A260" s="18" t="s">
        <v>50</v>
      </c>
      <c r="B260" s="24" t="s">
        <v>64</v>
      </c>
      <c r="C260" s="25" t="s">
        <v>143</v>
      </c>
      <c r="D260" s="26">
        <v>8925</v>
      </c>
      <c r="E260" s="18" t="s">
        <v>14</v>
      </c>
      <c r="F260" s="179"/>
      <c r="G260" s="131">
        <f>(F260)*$G$27</f>
        <v>0</v>
      </c>
      <c r="H260" s="106">
        <f>G260*(1+$G$9)*(1+$G$11)*(1+$G$16)</f>
        <v>0</v>
      </c>
      <c r="I260" s="19" t="s">
        <v>53</v>
      </c>
      <c r="J260" s="3"/>
      <c r="K260" s="17"/>
    </row>
    <row r="261" spans="1:26" ht="15" customHeight="1" x14ac:dyDescent="0.2">
      <c r="A261" s="18" t="s">
        <v>50</v>
      </c>
      <c r="B261" s="24" t="s">
        <v>64</v>
      </c>
      <c r="C261" s="25" t="s">
        <v>144</v>
      </c>
      <c r="D261" s="26">
        <v>9129</v>
      </c>
      <c r="E261" s="18" t="s">
        <v>14</v>
      </c>
      <c r="F261" s="179">
        <v>289.2</v>
      </c>
      <c r="G261" s="131">
        <f>(F261)*$I$27</f>
        <v>3470.3999999999996</v>
      </c>
      <c r="H261" s="106">
        <f>G261*(1+$G$9)*(1+$G$11)*(1+$G$16)</f>
        <v>3594.9873599999996</v>
      </c>
      <c r="I261" s="19" t="s">
        <v>53</v>
      </c>
      <c r="J261" s="3"/>
      <c r="K261" s="4"/>
      <c r="L261" s="84"/>
      <c r="M261" s="5"/>
      <c r="N261" s="29"/>
      <c r="R261" s="5"/>
      <c r="S261" s="5"/>
      <c r="T261" s="5"/>
      <c r="U261" s="5"/>
      <c r="V261" s="5"/>
      <c r="W261" s="5"/>
      <c r="X261" s="5"/>
      <c r="Y261" s="5"/>
      <c r="Z261" s="30"/>
    </row>
    <row r="262" spans="1:26" ht="15" customHeight="1" x14ac:dyDescent="0.2">
      <c r="A262" s="18"/>
      <c r="B262" s="24"/>
      <c r="C262" s="25"/>
      <c r="D262" s="26"/>
      <c r="E262" s="18"/>
      <c r="F262" s="179"/>
      <c r="G262" s="131"/>
      <c r="H262" s="106">
        <f>SUM(H254:H261)</f>
        <v>151225.71088641818</v>
      </c>
      <c r="I262" s="21">
        <f>SUM(H262:H262)</f>
        <v>151225.71088641818</v>
      </c>
      <c r="J262" s="3"/>
      <c r="K262" s="4"/>
      <c r="L262" s="84"/>
      <c r="M262" s="5"/>
      <c r="N262" s="29"/>
      <c r="R262" s="5"/>
      <c r="S262" s="5"/>
      <c r="T262" s="5"/>
      <c r="U262" s="5"/>
      <c r="V262" s="5"/>
      <c r="W262" s="5"/>
      <c r="X262" s="5"/>
      <c r="Y262" s="5"/>
      <c r="Z262" s="30"/>
    </row>
    <row r="263" spans="1:26" ht="15" customHeight="1" x14ac:dyDescent="0.2">
      <c r="A263" s="18" t="s">
        <v>50</v>
      </c>
      <c r="B263" s="24" t="s">
        <v>64</v>
      </c>
      <c r="C263" s="25" t="s">
        <v>28</v>
      </c>
      <c r="D263" s="26">
        <v>1109</v>
      </c>
      <c r="E263" s="18" t="s">
        <v>29</v>
      </c>
      <c r="F263" s="179">
        <v>898.14</v>
      </c>
      <c r="G263" s="131">
        <f>(F263*1.1)*$E$27</f>
        <v>11855.448</v>
      </c>
      <c r="H263" s="106">
        <f t="shared" ref="H263:H275" si="16">G263*(1+$G$9)*(1+$G$11)*(1+$G$16)</f>
        <v>12281.058583200002</v>
      </c>
      <c r="I263" s="19" t="s">
        <v>53</v>
      </c>
      <c r="J263" s="3"/>
      <c r="K263" s="17"/>
    </row>
    <row r="264" spans="1:26" ht="15" customHeight="1" x14ac:dyDescent="0.2">
      <c r="A264" s="18" t="s">
        <v>50</v>
      </c>
      <c r="B264" s="24" t="s">
        <v>64</v>
      </c>
      <c r="C264" s="18" t="s">
        <v>38</v>
      </c>
      <c r="D264" s="20">
        <v>1105</v>
      </c>
      <c r="E264" s="18" t="s">
        <v>19</v>
      </c>
      <c r="F264" s="179"/>
      <c r="G264" s="131">
        <f>(F264)*$G$27</f>
        <v>0</v>
      </c>
      <c r="H264" s="106">
        <f t="shared" si="16"/>
        <v>0</v>
      </c>
      <c r="I264" s="19" t="s">
        <v>53</v>
      </c>
      <c r="J264" s="3"/>
      <c r="K264" s="17"/>
    </row>
    <row r="265" spans="1:26" ht="15" customHeight="1" x14ac:dyDescent="0.2">
      <c r="A265" s="18" t="s">
        <v>50</v>
      </c>
      <c r="B265" s="24" t="s">
        <v>64</v>
      </c>
      <c r="C265" s="25" t="s">
        <v>30</v>
      </c>
      <c r="D265" s="26">
        <v>1133</v>
      </c>
      <c r="E265" s="18" t="s">
        <v>31</v>
      </c>
      <c r="F265" s="179"/>
      <c r="G265" s="131"/>
      <c r="H265" s="106">
        <f t="shared" si="16"/>
        <v>0</v>
      </c>
      <c r="I265" s="19" t="s">
        <v>53</v>
      </c>
      <c r="J265" s="3"/>
      <c r="K265" s="4"/>
      <c r="L265" s="84"/>
      <c r="M265" s="5"/>
      <c r="N265" s="29"/>
      <c r="R265" s="5"/>
      <c r="S265" s="5"/>
      <c r="T265" s="5"/>
      <c r="U265" s="5"/>
      <c r="V265" s="5"/>
      <c r="W265" s="5"/>
      <c r="X265" s="5"/>
      <c r="Y265" s="5"/>
      <c r="Z265" s="30"/>
    </row>
    <row r="266" spans="1:26" ht="15" customHeight="1" x14ac:dyDescent="0.2">
      <c r="A266" s="18" t="s">
        <v>50</v>
      </c>
      <c r="B266" s="24" t="s">
        <v>64</v>
      </c>
      <c r="C266" s="25" t="s">
        <v>16</v>
      </c>
      <c r="D266" s="26">
        <v>1126</v>
      </c>
      <c r="E266" s="18" t="s">
        <v>17</v>
      </c>
      <c r="F266" s="179"/>
      <c r="G266" s="131">
        <f t="shared" ref="G266:G271" si="17">(F266)*$G$27</f>
        <v>0</v>
      </c>
      <c r="H266" s="106">
        <f t="shared" si="16"/>
        <v>0</v>
      </c>
      <c r="I266" s="32" t="s">
        <v>57</v>
      </c>
      <c r="J266" s="3"/>
      <c r="K266" s="17"/>
    </row>
    <row r="267" spans="1:26" ht="15" customHeight="1" x14ac:dyDescent="0.2">
      <c r="A267" s="18" t="s">
        <v>50</v>
      </c>
      <c r="B267" s="24" t="s">
        <v>64</v>
      </c>
      <c r="C267" s="18" t="s">
        <v>38</v>
      </c>
      <c r="D267" s="20">
        <v>1104</v>
      </c>
      <c r="E267" s="18" t="s">
        <v>19</v>
      </c>
      <c r="F267" s="179"/>
      <c r="G267" s="131">
        <f t="shared" si="17"/>
        <v>0</v>
      </c>
      <c r="H267" s="106">
        <f t="shared" si="16"/>
        <v>0</v>
      </c>
      <c r="I267" s="32" t="s">
        <v>57</v>
      </c>
      <c r="J267" s="3"/>
      <c r="K267" s="17"/>
    </row>
    <row r="268" spans="1:26" ht="15" customHeight="1" x14ac:dyDescent="0.2">
      <c r="A268" s="18" t="s">
        <v>50</v>
      </c>
      <c r="B268" s="24" t="s">
        <v>64</v>
      </c>
      <c r="C268" s="25" t="s">
        <v>21</v>
      </c>
      <c r="D268" s="26">
        <v>8926</v>
      </c>
      <c r="E268" s="18"/>
      <c r="F268" s="179"/>
      <c r="G268" s="131">
        <f t="shared" si="17"/>
        <v>0</v>
      </c>
      <c r="H268" s="106">
        <f t="shared" si="16"/>
        <v>0</v>
      </c>
      <c r="I268" s="32" t="s">
        <v>57</v>
      </c>
      <c r="J268" s="3"/>
      <c r="K268" s="17"/>
    </row>
    <row r="269" spans="1:26" ht="15" customHeight="1" x14ac:dyDescent="0.2">
      <c r="A269" s="18" t="s">
        <v>50</v>
      </c>
      <c r="B269" s="24" t="s">
        <v>64</v>
      </c>
      <c r="C269" s="25" t="s">
        <v>35</v>
      </c>
      <c r="D269" s="26">
        <v>1129</v>
      </c>
      <c r="E269" s="18" t="s">
        <v>26</v>
      </c>
      <c r="F269" s="179"/>
      <c r="G269" s="131">
        <f t="shared" si="17"/>
        <v>0</v>
      </c>
      <c r="H269" s="106">
        <f t="shared" si="16"/>
        <v>0</v>
      </c>
      <c r="I269" s="32" t="s">
        <v>57</v>
      </c>
      <c r="J269" s="3"/>
      <c r="K269" s="17"/>
    </row>
    <row r="270" spans="1:26" ht="15" customHeight="1" x14ac:dyDescent="0.2">
      <c r="A270" s="18" t="s">
        <v>50</v>
      </c>
      <c r="B270" s="24" t="s">
        <v>64</v>
      </c>
      <c r="C270" s="18" t="s">
        <v>172</v>
      </c>
      <c r="D270" s="20">
        <v>1131</v>
      </c>
      <c r="E270" s="18" t="s">
        <v>19</v>
      </c>
      <c r="F270" s="179"/>
      <c r="G270" s="131">
        <f t="shared" si="17"/>
        <v>0</v>
      </c>
      <c r="H270" s="106">
        <f t="shared" si="16"/>
        <v>0</v>
      </c>
      <c r="I270" s="32" t="s">
        <v>57</v>
      </c>
      <c r="J270" s="3"/>
      <c r="K270" s="17"/>
    </row>
    <row r="271" spans="1:26" ht="15" customHeight="1" x14ac:dyDescent="0.2">
      <c r="A271" s="18" t="s">
        <v>50</v>
      </c>
      <c r="B271" s="24" t="s">
        <v>64</v>
      </c>
      <c r="C271" s="18" t="s">
        <v>173</v>
      </c>
      <c r="D271" s="20">
        <v>1131</v>
      </c>
      <c r="E271" s="18" t="s">
        <v>19</v>
      </c>
      <c r="F271" s="179"/>
      <c r="G271" s="131">
        <f t="shared" si="17"/>
        <v>0</v>
      </c>
      <c r="H271" s="106">
        <f t="shared" si="16"/>
        <v>0</v>
      </c>
      <c r="I271" s="32" t="s">
        <v>57</v>
      </c>
      <c r="J271" s="3"/>
      <c r="K271" s="17"/>
    </row>
    <row r="272" spans="1:26" ht="15" customHeight="1" x14ac:dyDescent="0.2">
      <c r="A272" s="18" t="s">
        <v>50</v>
      </c>
      <c r="B272" s="24" t="s">
        <v>64</v>
      </c>
      <c r="C272" s="25" t="s">
        <v>28</v>
      </c>
      <c r="D272" s="26">
        <v>1108</v>
      </c>
      <c r="E272" s="18" t="s">
        <v>29</v>
      </c>
      <c r="F272" s="179"/>
      <c r="G272" s="131">
        <f>(F272*1.1)*$E$27</f>
        <v>0</v>
      </c>
      <c r="H272" s="106">
        <f t="shared" si="16"/>
        <v>0</v>
      </c>
      <c r="I272" s="32" t="s">
        <v>57</v>
      </c>
      <c r="J272" s="3"/>
      <c r="K272" s="17"/>
    </row>
    <row r="273" spans="1:26" ht="15" customHeight="1" x14ac:dyDescent="0.2">
      <c r="A273" s="18" t="s">
        <v>50</v>
      </c>
      <c r="B273" s="24" t="s">
        <v>64</v>
      </c>
      <c r="C273" s="25" t="s">
        <v>143</v>
      </c>
      <c r="D273" s="26">
        <v>8927</v>
      </c>
      <c r="E273" s="18" t="s">
        <v>14</v>
      </c>
      <c r="F273" s="179"/>
      <c r="G273" s="131"/>
      <c r="H273" s="106">
        <f t="shared" si="16"/>
        <v>0</v>
      </c>
      <c r="I273" s="32" t="s">
        <v>57</v>
      </c>
      <c r="J273" s="3"/>
      <c r="K273" s="17"/>
    </row>
    <row r="274" spans="1:26" ht="15" customHeight="1" x14ac:dyDescent="0.2">
      <c r="A274" s="18" t="s">
        <v>50</v>
      </c>
      <c r="B274" s="24" t="s">
        <v>64</v>
      </c>
      <c r="C274" s="25" t="s">
        <v>144</v>
      </c>
      <c r="D274" s="26">
        <v>9130</v>
      </c>
      <c r="E274" s="18" t="s">
        <v>14</v>
      </c>
      <c r="F274" s="179"/>
      <c r="G274" s="131">
        <f>(F274)*$I$27</f>
        <v>0</v>
      </c>
      <c r="H274" s="106">
        <f t="shared" si="16"/>
        <v>0</v>
      </c>
      <c r="I274" s="32" t="s">
        <v>57</v>
      </c>
      <c r="J274" s="3"/>
      <c r="K274" s="4"/>
      <c r="L274" s="84"/>
      <c r="M274" s="5"/>
      <c r="N274" s="29"/>
      <c r="R274" s="5"/>
      <c r="S274" s="5"/>
      <c r="T274" s="5"/>
      <c r="U274" s="5"/>
      <c r="V274" s="5"/>
      <c r="W274" s="5"/>
      <c r="X274" s="5"/>
      <c r="Y274" s="5"/>
      <c r="Z274" s="30"/>
    </row>
    <row r="275" spans="1:26" ht="15" customHeight="1" x14ac:dyDescent="0.2">
      <c r="A275" s="18" t="s">
        <v>50</v>
      </c>
      <c r="B275" s="24" t="s">
        <v>64</v>
      </c>
      <c r="C275" s="25" t="s">
        <v>30</v>
      </c>
      <c r="D275" s="26">
        <v>7559</v>
      </c>
      <c r="E275" s="18" t="s">
        <v>31</v>
      </c>
      <c r="F275" s="179"/>
      <c r="G275" s="131"/>
      <c r="H275" s="106">
        <f t="shared" si="16"/>
        <v>0</v>
      </c>
      <c r="I275" s="32" t="s">
        <v>57</v>
      </c>
      <c r="J275" s="3"/>
      <c r="K275" s="4"/>
      <c r="L275" s="84"/>
      <c r="M275" s="5"/>
      <c r="N275" s="29"/>
      <c r="R275" s="5"/>
      <c r="S275" s="5"/>
      <c r="T275" s="5"/>
      <c r="U275" s="5"/>
      <c r="V275" s="5"/>
      <c r="W275" s="5"/>
      <c r="X275" s="5"/>
      <c r="Y275" s="5"/>
      <c r="Z275" s="30"/>
    </row>
    <row r="276" spans="1:26" ht="15" customHeight="1" x14ac:dyDescent="0.2">
      <c r="A276" s="111"/>
      <c r="B276" s="112"/>
      <c r="C276" s="113"/>
      <c r="D276" s="114"/>
      <c r="E276" s="111"/>
      <c r="F276" s="180">
        <f>SUM(F253:F275)</f>
        <v>11205.3325</v>
      </c>
      <c r="G276" s="123">
        <f>SUM(G253:G275)</f>
        <v>151570.546</v>
      </c>
      <c r="H276" s="123">
        <f>SUM(H262:H275)</f>
        <v>163506.76946961819</v>
      </c>
      <c r="I276" s="19"/>
      <c r="J276" s="3"/>
      <c r="K276" s="17"/>
    </row>
    <row r="277" spans="1:26" ht="15" customHeight="1" x14ac:dyDescent="0.2">
      <c r="A277" s="18" t="s">
        <v>50</v>
      </c>
      <c r="B277" s="24" t="s">
        <v>65</v>
      </c>
      <c r="C277" s="25" t="s">
        <v>61</v>
      </c>
      <c r="D277" s="26">
        <v>871</v>
      </c>
      <c r="E277" s="18" t="s">
        <v>43</v>
      </c>
      <c r="F277" s="179">
        <f>35307.25+7237.8</f>
        <v>42545.05</v>
      </c>
      <c r="G277" s="131">
        <f>(F277)*$G$27</f>
        <v>578612.68000000005</v>
      </c>
      <c r="H277" s="106">
        <f>G277*(1+$G$9)*(1+$G$11)*(1+$G$16)</f>
        <v>599384.8752120001</v>
      </c>
      <c r="I277" s="19" t="s">
        <v>53</v>
      </c>
      <c r="J277" s="3"/>
      <c r="K277" s="17"/>
    </row>
    <row r="278" spans="1:26" ht="15" customHeight="1" x14ac:dyDescent="0.2">
      <c r="A278" s="18" t="s">
        <v>50</v>
      </c>
      <c r="B278" s="24" t="s">
        <v>65</v>
      </c>
      <c r="C278" s="25" t="s">
        <v>16</v>
      </c>
      <c r="D278" s="26">
        <v>875</v>
      </c>
      <c r="E278" s="18" t="s">
        <v>17</v>
      </c>
      <c r="F278" s="179">
        <v>157068.07</v>
      </c>
      <c r="G278" s="131">
        <f>(F278)*$G$27</f>
        <v>2136125.7519999999</v>
      </c>
      <c r="H278" s="106">
        <f>G278*(1+$G$9)*(1+$G$11)*(1+$G$16)</f>
        <v>2212812.6664967998</v>
      </c>
      <c r="I278" s="19" t="s">
        <v>53</v>
      </c>
      <c r="J278" s="3"/>
      <c r="K278" s="17"/>
    </row>
    <row r="279" spans="1:26" ht="15" customHeight="1" x14ac:dyDescent="0.2">
      <c r="A279" s="18" t="s">
        <v>50</v>
      </c>
      <c r="B279" s="24" t="s">
        <v>65</v>
      </c>
      <c r="C279" s="25" t="s">
        <v>21</v>
      </c>
      <c r="D279" s="26">
        <v>876</v>
      </c>
      <c r="E279" s="18"/>
      <c r="F279" s="179"/>
      <c r="G279" s="131">
        <f>(F279)*$G$27</f>
        <v>0</v>
      </c>
      <c r="H279" s="106">
        <f>G279*(1+$G$9)*(1+$G$11)*(1+$G$16)</f>
        <v>0</v>
      </c>
      <c r="I279" s="19" t="s">
        <v>53</v>
      </c>
      <c r="J279" s="3"/>
      <c r="K279" s="17"/>
    </row>
    <row r="280" spans="1:26" ht="15" customHeight="1" x14ac:dyDescent="0.2">
      <c r="A280" s="18" t="s">
        <v>50</v>
      </c>
      <c r="B280" s="24" t="s">
        <v>65</v>
      </c>
      <c r="C280" s="25" t="s">
        <v>35</v>
      </c>
      <c r="D280" s="26">
        <v>878</v>
      </c>
      <c r="E280" s="18" t="s">
        <v>26</v>
      </c>
      <c r="F280" s="179"/>
      <c r="G280" s="131">
        <f>F280</f>
        <v>0</v>
      </c>
      <c r="H280" s="106">
        <f>G280*(1+$G$9)*(1+$G$11)*(1+$G$16)</f>
        <v>0</v>
      </c>
      <c r="I280" s="19" t="s">
        <v>53</v>
      </c>
      <c r="J280" s="3"/>
      <c r="K280" s="17"/>
    </row>
    <row r="281" spans="1:26" ht="15" customHeight="1" x14ac:dyDescent="0.2">
      <c r="A281" s="18" t="s">
        <v>50</v>
      </c>
      <c r="B281" s="24" t="s">
        <v>65</v>
      </c>
      <c r="C281" s="18" t="s">
        <v>172</v>
      </c>
      <c r="D281" s="20">
        <v>880</v>
      </c>
      <c r="E281" s="18" t="s">
        <v>19</v>
      </c>
      <c r="F281" s="179">
        <f>292689.44/4-F282</f>
        <v>27603.647499999999</v>
      </c>
      <c r="G281" s="131">
        <f>(F281)*$G$27</f>
        <v>375409.60599999997</v>
      </c>
      <c r="H281" s="106">
        <f>G281*(1+$G$9)*(1+$G$11)*(1+$G$16)</f>
        <v>388886.81085539999</v>
      </c>
      <c r="I281" s="19" t="s">
        <v>53</v>
      </c>
      <c r="J281" s="3"/>
      <c r="K281" s="17"/>
    </row>
    <row r="282" spans="1:26" ht="15" customHeight="1" x14ac:dyDescent="0.2">
      <c r="A282" s="18" t="s">
        <v>50</v>
      </c>
      <c r="B282" s="24" t="s">
        <v>65</v>
      </c>
      <c r="C282" s="18" t="s">
        <v>173</v>
      </c>
      <c r="D282" s="20">
        <v>880</v>
      </c>
      <c r="E282" s="18" t="s">
        <v>174</v>
      </c>
      <c r="F282" s="179">
        <f>182274.85/4</f>
        <v>45568.712500000001</v>
      </c>
      <c r="G282" s="131">
        <f>(F282)*$G$27</f>
        <v>619734.49</v>
      </c>
      <c r="H282" s="106">
        <f>(G282/G$26*H$26)*(1+$G$9)*(1+$G$11)*(1+$G$16)</f>
        <v>778161.16144363652</v>
      </c>
      <c r="I282" s="19" t="s">
        <v>53</v>
      </c>
      <c r="J282" s="3"/>
      <c r="K282" s="17"/>
    </row>
    <row r="283" spans="1:26" ht="15" customHeight="1" x14ac:dyDescent="0.2">
      <c r="A283" s="18" t="s">
        <v>50</v>
      </c>
      <c r="B283" s="24" t="s">
        <v>65</v>
      </c>
      <c r="C283" s="25" t="s">
        <v>143</v>
      </c>
      <c r="D283" s="26">
        <v>8928</v>
      </c>
      <c r="E283" s="18" t="s">
        <v>14</v>
      </c>
      <c r="F283" s="179"/>
      <c r="G283" s="131">
        <f>(F283)*$G$27</f>
        <v>0</v>
      </c>
      <c r="H283" s="106">
        <f>G283*(1+$G$9)*(1+$G$11)*(1+$G$16)</f>
        <v>0</v>
      </c>
      <c r="I283" s="19" t="s">
        <v>53</v>
      </c>
      <c r="J283" s="3"/>
      <c r="K283" s="17"/>
    </row>
    <row r="284" spans="1:26" ht="15" customHeight="1" x14ac:dyDescent="0.2">
      <c r="A284" s="18" t="s">
        <v>50</v>
      </c>
      <c r="B284" s="24" t="s">
        <v>65</v>
      </c>
      <c r="C284" s="25" t="s">
        <v>144</v>
      </c>
      <c r="D284" s="26">
        <v>9131</v>
      </c>
      <c r="E284" s="18" t="s">
        <v>14</v>
      </c>
      <c r="F284" s="179">
        <v>3346.07</v>
      </c>
      <c r="G284" s="131">
        <f>(F284)*$I$27</f>
        <v>40152.840000000004</v>
      </c>
      <c r="H284" s="106">
        <f>G284*(1+$G$9)*(1+$G$11)*(1+$G$16)</f>
        <v>41594.326956000004</v>
      </c>
      <c r="I284" s="19" t="s">
        <v>53</v>
      </c>
      <c r="J284" s="3"/>
      <c r="K284" s="4"/>
      <c r="L284" s="84"/>
      <c r="M284" s="5"/>
      <c r="N284" s="29"/>
      <c r="R284" s="5"/>
      <c r="S284" s="5"/>
      <c r="T284" s="5"/>
      <c r="U284" s="5"/>
      <c r="V284" s="5"/>
      <c r="W284" s="5"/>
      <c r="X284" s="5"/>
      <c r="Y284" s="5"/>
      <c r="Z284" s="30"/>
    </row>
    <row r="285" spans="1:26" ht="15" customHeight="1" x14ac:dyDescent="0.2">
      <c r="A285" s="18"/>
      <c r="B285" s="24"/>
      <c r="C285" s="25"/>
      <c r="D285" s="26"/>
      <c r="E285" s="18"/>
      <c r="F285" s="179"/>
      <c r="G285" s="131"/>
      <c r="H285" s="106">
        <f>SUM(H277:H284)</f>
        <v>4020839.8409638368</v>
      </c>
      <c r="I285" s="21">
        <f>SUM(H285:H285)</f>
        <v>4020839.8409638368</v>
      </c>
      <c r="J285" s="3"/>
      <c r="K285" s="4"/>
      <c r="L285" s="84"/>
      <c r="M285" s="5"/>
      <c r="N285" s="29"/>
      <c r="R285" s="5"/>
      <c r="S285" s="5"/>
      <c r="T285" s="5"/>
      <c r="U285" s="5"/>
      <c r="V285" s="5"/>
      <c r="W285" s="5"/>
      <c r="X285" s="5"/>
      <c r="Y285" s="5"/>
      <c r="Z285" s="30"/>
    </row>
    <row r="286" spans="1:26" ht="15" customHeight="1" x14ac:dyDescent="0.2">
      <c r="A286" s="18" t="s">
        <v>50</v>
      </c>
      <c r="B286" s="24" t="s">
        <v>65</v>
      </c>
      <c r="C286" s="25" t="s">
        <v>28</v>
      </c>
      <c r="D286" s="26">
        <v>868</v>
      </c>
      <c r="E286" s="18" t="s">
        <v>29</v>
      </c>
      <c r="F286" s="179">
        <v>9580.16</v>
      </c>
      <c r="G286" s="131">
        <f>(F286*1.1)*$E$27</f>
        <v>126458.11200000002</v>
      </c>
      <c r="H286" s="106">
        <f t="shared" ref="H286:H298" si="18">G286*(1+$G$9)*(1+$G$11)*(1+$G$16)</f>
        <v>130997.95822080004</v>
      </c>
      <c r="I286" s="19" t="s">
        <v>53</v>
      </c>
      <c r="J286" s="3"/>
      <c r="K286" s="17"/>
    </row>
    <row r="287" spans="1:26" ht="15" customHeight="1" x14ac:dyDescent="0.2">
      <c r="A287" s="18" t="s">
        <v>50</v>
      </c>
      <c r="B287" s="24" t="s">
        <v>65</v>
      </c>
      <c r="C287" s="18" t="s">
        <v>38</v>
      </c>
      <c r="D287" s="20">
        <v>864</v>
      </c>
      <c r="E287" s="18" t="s">
        <v>19</v>
      </c>
      <c r="F287" s="179"/>
      <c r="G287" s="131">
        <f>(F287)*$G$27</f>
        <v>0</v>
      </c>
      <c r="H287" s="106">
        <f t="shared" si="18"/>
        <v>0</v>
      </c>
      <c r="I287" s="19" t="s">
        <v>53</v>
      </c>
      <c r="J287" s="3"/>
      <c r="K287" s="17"/>
    </row>
    <row r="288" spans="1:26" ht="15" customHeight="1" x14ac:dyDescent="0.2">
      <c r="A288" s="18" t="s">
        <v>50</v>
      </c>
      <c r="B288" s="24" t="s">
        <v>65</v>
      </c>
      <c r="C288" s="25" t="s">
        <v>30</v>
      </c>
      <c r="D288" s="26">
        <v>881</v>
      </c>
      <c r="E288" s="18" t="s">
        <v>31</v>
      </c>
      <c r="F288" s="179"/>
      <c r="G288" s="131"/>
      <c r="H288" s="106">
        <f t="shared" si="18"/>
        <v>0</v>
      </c>
      <c r="I288" s="19" t="s">
        <v>53</v>
      </c>
      <c r="J288" s="3"/>
      <c r="K288" s="4"/>
      <c r="L288" s="84"/>
      <c r="M288" s="5"/>
      <c r="N288" s="29"/>
      <c r="R288" s="5"/>
      <c r="S288" s="5"/>
      <c r="T288" s="5"/>
      <c r="U288" s="5"/>
      <c r="V288" s="5"/>
      <c r="W288" s="5"/>
      <c r="X288" s="5"/>
      <c r="Y288" s="5"/>
      <c r="Z288" s="30"/>
    </row>
    <row r="289" spans="1:26" ht="15" customHeight="1" x14ac:dyDescent="0.2">
      <c r="A289" s="18" t="s">
        <v>50</v>
      </c>
      <c r="B289" s="24" t="s">
        <v>65</v>
      </c>
      <c r="C289" s="25" t="s">
        <v>61</v>
      </c>
      <c r="D289" s="26">
        <v>7436</v>
      </c>
      <c r="E289" s="18" t="s">
        <v>43</v>
      </c>
      <c r="F289" s="179"/>
      <c r="G289" s="131">
        <f>(F289)*$G$27</f>
        <v>0</v>
      </c>
      <c r="H289" s="106">
        <f t="shared" si="18"/>
        <v>0</v>
      </c>
      <c r="I289" s="32" t="s">
        <v>57</v>
      </c>
      <c r="J289" s="3"/>
      <c r="K289" s="17"/>
    </row>
    <row r="290" spans="1:26" ht="15" customHeight="1" x14ac:dyDescent="0.2">
      <c r="A290" s="18" t="s">
        <v>50</v>
      </c>
      <c r="B290" s="24" t="s">
        <v>65</v>
      </c>
      <c r="C290" s="25" t="s">
        <v>16</v>
      </c>
      <c r="D290" s="26">
        <v>874</v>
      </c>
      <c r="E290" s="18" t="s">
        <v>17</v>
      </c>
      <c r="F290" s="179"/>
      <c r="G290" s="131">
        <f>(F290)*$G$27</f>
        <v>0</v>
      </c>
      <c r="H290" s="106">
        <f t="shared" si="18"/>
        <v>0</v>
      </c>
      <c r="I290" s="32" t="s">
        <v>57</v>
      </c>
      <c r="J290" s="3"/>
      <c r="K290" s="17"/>
    </row>
    <row r="291" spans="1:26" ht="15" customHeight="1" x14ac:dyDescent="0.2">
      <c r="A291" s="18" t="s">
        <v>50</v>
      </c>
      <c r="B291" s="24" t="s">
        <v>65</v>
      </c>
      <c r="C291" s="25" t="s">
        <v>21</v>
      </c>
      <c r="D291" s="26">
        <v>8930</v>
      </c>
      <c r="E291" s="18"/>
      <c r="F291" s="179"/>
      <c r="G291" s="131">
        <f>(F291)*$G$27</f>
        <v>0</v>
      </c>
      <c r="H291" s="106">
        <f t="shared" si="18"/>
        <v>0</v>
      </c>
      <c r="I291" s="32" t="s">
        <v>57</v>
      </c>
      <c r="J291" s="3"/>
      <c r="K291" s="17"/>
    </row>
    <row r="292" spans="1:26" ht="15" customHeight="1" x14ac:dyDescent="0.2">
      <c r="A292" s="18" t="s">
        <v>50</v>
      </c>
      <c r="B292" s="24" t="s">
        <v>65</v>
      </c>
      <c r="C292" s="18" t="s">
        <v>38</v>
      </c>
      <c r="D292" s="20">
        <v>863</v>
      </c>
      <c r="E292" s="18" t="s">
        <v>19</v>
      </c>
      <c r="F292" s="179"/>
      <c r="G292" s="131">
        <f>(F292)*$G$27</f>
        <v>0</v>
      </c>
      <c r="H292" s="106">
        <f t="shared" si="18"/>
        <v>0</v>
      </c>
      <c r="I292" s="32" t="s">
        <v>57</v>
      </c>
      <c r="J292" s="3"/>
      <c r="K292" s="17"/>
    </row>
    <row r="293" spans="1:26" ht="15" customHeight="1" x14ac:dyDescent="0.2">
      <c r="A293" s="18" t="s">
        <v>50</v>
      </c>
      <c r="B293" s="24" t="s">
        <v>65</v>
      </c>
      <c r="C293" s="25" t="s">
        <v>35</v>
      </c>
      <c r="D293" s="26">
        <v>877</v>
      </c>
      <c r="E293" s="18" t="s">
        <v>26</v>
      </c>
      <c r="F293" s="179"/>
      <c r="G293" s="131">
        <f>F293</f>
        <v>0</v>
      </c>
      <c r="H293" s="106">
        <f t="shared" si="18"/>
        <v>0</v>
      </c>
      <c r="I293" s="32" t="s">
        <v>57</v>
      </c>
      <c r="J293" s="3"/>
      <c r="K293" s="17"/>
    </row>
    <row r="294" spans="1:26" ht="15" customHeight="1" x14ac:dyDescent="0.2">
      <c r="A294" s="18" t="s">
        <v>50</v>
      </c>
      <c r="B294" s="24" t="s">
        <v>65</v>
      </c>
      <c r="C294" s="18" t="s">
        <v>27</v>
      </c>
      <c r="D294" s="20">
        <v>879</v>
      </c>
      <c r="E294" s="18" t="s">
        <v>19</v>
      </c>
      <c r="F294" s="179"/>
      <c r="G294" s="131">
        <f>(F294)*$G$27</f>
        <v>0</v>
      </c>
      <c r="H294" s="106">
        <f t="shared" si="18"/>
        <v>0</v>
      </c>
      <c r="I294" s="32" t="s">
        <v>57</v>
      </c>
      <c r="J294" s="3"/>
      <c r="K294" s="17"/>
    </row>
    <row r="295" spans="1:26" ht="15" customHeight="1" x14ac:dyDescent="0.2">
      <c r="A295" s="18" t="s">
        <v>50</v>
      </c>
      <c r="B295" s="24" t="s">
        <v>65</v>
      </c>
      <c r="C295" s="25" t="s">
        <v>28</v>
      </c>
      <c r="D295" s="26">
        <v>867</v>
      </c>
      <c r="E295" s="18" t="s">
        <v>29</v>
      </c>
      <c r="F295" s="179"/>
      <c r="G295" s="131">
        <f>(F295*1.1)*$E$27</f>
        <v>0</v>
      </c>
      <c r="H295" s="106">
        <f t="shared" si="18"/>
        <v>0</v>
      </c>
      <c r="I295" s="32" t="s">
        <v>57</v>
      </c>
      <c r="J295" s="3"/>
      <c r="K295" s="17"/>
    </row>
    <row r="296" spans="1:26" ht="15" customHeight="1" x14ac:dyDescent="0.2">
      <c r="A296" s="18" t="s">
        <v>50</v>
      </c>
      <c r="B296" s="24" t="s">
        <v>65</v>
      </c>
      <c r="C296" s="25" t="s">
        <v>143</v>
      </c>
      <c r="D296" s="26">
        <v>8929</v>
      </c>
      <c r="E296" s="18" t="s">
        <v>14</v>
      </c>
      <c r="F296" s="179"/>
      <c r="G296" s="131">
        <f>(F296)*$G$27</f>
        <v>0</v>
      </c>
      <c r="H296" s="106">
        <f t="shared" si="18"/>
        <v>0</v>
      </c>
      <c r="I296" s="32" t="s">
        <v>57</v>
      </c>
      <c r="J296" s="3"/>
      <c r="K296" s="17"/>
    </row>
    <row r="297" spans="1:26" ht="15" customHeight="1" x14ac:dyDescent="0.2">
      <c r="A297" s="18" t="s">
        <v>50</v>
      </c>
      <c r="B297" s="24" t="s">
        <v>65</v>
      </c>
      <c r="C297" s="25" t="s">
        <v>144</v>
      </c>
      <c r="D297" s="26">
        <v>9132</v>
      </c>
      <c r="E297" s="18" t="s">
        <v>14</v>
      </c>
      <c r="F297" s="179"/>
      <c r="G297" s="131">
        <f>(F297)*$G$27</f>
        <v>0</v>
      </c>
      <c r="H297" s="106">
        <f t="shared" si="18"/>
        <v>0</v>
      </c>
      <c r="I297" s="32" t="s">
        <v>57</v>
      </c>
      <c r="J297" s="3"/>
      <c r="K297" s="4"/>
      <c r="L297" s="84"/>
      <c r="M297" s="5"/>
      <c r="N297" s="29"/>
      <c r="R297" s="5"/>
      <c r="S297" s="5"/>
      <c r="T297" s="5"/>
      <c r="U297" s="5"/>
      <c r="V297" s="5"/>
      <c r="W297" s="5"/>
      <c r="X297" s="5"/>
      <c r="Y297" s="5"/>
      <c r="Z297" s="30"/>
    </row>
    <row r="298" spans="1:26" ht="15" customHeight="1" x14ac:dyDescent="0.2">
      <c r="A298" s="18" t="s">
        <v>50</v>
      </c>
      <c r="B298" s="24" t="s">
        <v>65</v>
      </c>
      <c r="C298" s="25" t="s">
        <v>30</v>
      </c>
      <c r="D298" s="26">
        <v>7560</v>
      </c>
      <c r="E298" s="18" t="s">
        <v>31</v>
      </c>
      <c r="F298" s="179"/>
      <c r="G298" s="131"/>
      <c r="H298" s="106">
        <f t="shared" si="18"/>
        <v>0</v>
      </c>
      <c r="I298" s="32" t="s">
        <v>57</v>
      </c>
      <c r="J298" s="3"/>
      <c r="K298" s="4"/>
      <c r="L298" s="84"/>
      <c r="M298" s="5"/>
      <c r="N298" s="29"/>
      <c r="R298" s="5"/>
      <c r="S298" s="5"/>
      <c r="T298" s="5"/>
      <c r="U298" s="5"/>
      <c r="V298" s="5"/>
      <c r="W298" s="5"/>
      <c r="X298" s="5"/>
      <c r="Y298" s="5"/>
      <c r="Z298" s="30"/>
    </row>
    <row r="299" spans="1:26" ht="15" customHeight="1" x14ac:dyDescent="0.2">
      <c r="A299" s="111"/>
      <c r="B299" s="112"/>
      <c r="C299" s="113"/>
      <c r="D299" s="114"/>
      <c r="E299" s="111"/>
      <c r="F299" s="180">
        <f>SUM(F277:F298)</f>
        <v>285711.70999999996</v>
      </c>
      <c r="G299" s="123">
        <f>SUM(G277:G298)</f>
        <v>3876493.48</v>
      </c>
      <c r="H299" s="123">
        <f>SUM(H285:H298)</f>
        <v>4151837.7991846367</v>
      </c>
      <c r="I299" s="31">
        <f>SUM(I277:I295)</f>
        <v>4020839.8409638368</v>
      </c>
      <c r="J299" s="3"/>
      <c r="K299" s="17"/>
    </row>
    <row r="300" spans="1:26" ht="15" customHeight="1" x14ac:dyDescent="0.2">
      <c r="A300" s="18" t="s">
        <v>50</v>
      </c>
      <c r="B300" s="24" t="s">
        <v>66</v>
      </c>
      <c r="C300" s="25" t="s">
        <v>61</v>
      </c>
      <c r="D300" s="26">
        <v>882</v>
      </c>
      <c r="E300" s="18" t="s">
        <v>43</v>
      </c>
      <c r="F300" s="179"/>
      <c r="G300" s="131">
        <f t="shared" ref="G300:G306" si="19">(F300)*$G$27</f>
        <v>0</v>
      </c>
      <c r="H300" s="106">
        <f>G300*(1+$G$9)*(1+$G$11)*(1+$G$16)</f>
        <v>0</v>
      </c>
      <c r="I300" s="19" t="s">
        <v>53</v>
      </c>
      <c r="J300" s="3"/>
      <c r="K300" s="17"/>
      <c r="N300" s="35"/>
    </row>
    <row r="301" spans="1:26" ht="15" customHeight="1" x14ac:dyDescent="0.2">
      <c r="A301" s="18" t="s">
        <v>50</v>
      </c>
      <c r="B301" s="24" t="s">
        <v>66</v>
      </c>
      <c r="C301" s="25" t="s">
        <v>16</v>
      </c>
      <c r="D301" s="26">
        <v>886</v>
      </c>
      <c r="E301" s="18" t="s">
        <v>17</v>
      </c>
      <c r="F301" s="179">
        <f>48570.36-653.03</f>
        <v>47917.33</v>
      </c>
      <c r="G301" s="131">
        <f t="shared" si="19"/>
        <v>651675.68799999997</v>
      </c>
      <c r="H301" s="106">
        <f>G301*(1+$G$9)*(1+$G$11)*(1+$G$16)</f>
        <v>675070.84519919998</v>
      </c>
      <c r="I301" s="19" t="s">
        <v>53</v>
      </c>
      <c r="J301" s="3"/>
      <c r="K301" s="17"/>
    </row>
    <row r="302" spans="1:26" ht="15" customHeight="1" x14ac:dyDescent="0.2">
      <c r="A302" s="18" t="s">
        <v>50</v>
      </c>
      <c r="B302" s="24" t="s">
        <v>66</v>
      </c>
      <c r="C302" s="25" t="s">
        <v>21</v>
      </c>
      <c r="D302" s="26">
        <v>887</v>
      </c>
      <c r="E302" s="18"/>
      <c r="F302" s="179"/>
      <c r="G302" s="131">
        <f t="shared" si="19"/>
        <v>0</v>
      </c>
      <c r="H302" s="106">
        <f>G302*(1+$G$9)*(1+$G$11)*(1+$G$16)</f>
        <v>0</v>
      </c>
      <c r="I302" s="19" t="s">
        <v>53</v>
      </c>
      <c r="J302" s="3"/>
      <c r="K302" s="17"/>
    </row>
    <row r="303" spans="1:26" ht="15" customHeight="1" x14ac:dyDescent="0.2">
      <c r="A303" s="18" t="s">
        <v>50</v>
      </c>
      <c r="B303" s="24" t="s">
        <v>66</v>
      </c>
      <c r="C303" s="25" t="s">
        <v>35</v>
      </c>
      <c r="D303" s="26">
        <v>889</v>
      </c>
      <c r="E303" s="18" t="s">
        <v>26</v>
      </c>
      <c r="F303" s="179"/>
      <c r="G303" s="131">
        <f t="shared" si="19"/>
        <v>0</v>
      </c>
      <c r="H303" s="106">
        <f>G303*(1+$G$9)*(1+$G$11)*(1+$G$16)</f>
        <v>0</v>
      </c>
      <c r="I303" s="19" t="s">
        <v>53</v>
      </c>
      <c r="J303" s="3"/>
      <c r="K303" s="17"/>
    </row>
    <row r="304" spans="1:26" ht="15" customHeight="1" x14ac:dyDescent="0.2">
      <c r="A304" s="18" t="s">
        <v>50</v>
      </c>
      <c r="B304" s="24" t="s">
        <v>66</v>
      </c>
      <c r="C304" s="18" t="s">
        <v>172</v>
      </c>
      <c r="D304" s="20">
        <v>891</v>
      </c>
      <c r="E304" s="18" t="s">
        <v>19</v>
      </c>
      <c r="F304" s="179">
        <f>59680.76/4-F305</f>
        <v>5628.5150000000012</v>
      </c>
      <c r="G304" s="131">
        <f t="shared" si="19"/>
        <v>76547.804000000018</v>
      </c>
      <c r="H304" s="106">
        <f>G304*(1+$G$9)*(1+$G$11)*(1+$G$16)</f>
        <v>79295.870163600019</v>
      </c>
      <c r="I304" s="19" t="s">
        <v>53</v>
      </c>
      <c r="J304" s="3"/>
      <c r="K304" s="17"/>
    </row>
    <row r="305" spans="1:26" ht="15" customHeight="1" x14ac:dyDescent="0.2">
      <c r="A305" s="18" t="s">
        <v>50</v>
      </c>
      <c r="B305" s="24" t="s">
        <v>66</v>
      </c>
      <c r="C305" s="18" t="s">
        <v>173</v>
      </c>
      <c r="D305" s="20">
        <v>891</v>
      </c>
      <c r="E305" s="18" t="s">
        <v>174</v>
      </c>
      <c r="F305" s="179">
        <f>37166.7/4</f>
        <v>9291.6749999999993</v>
      </c>
      <c r="G305" s="131">
        <f t="shared" si="19"/>
        <v>126366.77999999998</v>
      </c>
      <c r="H305" s="106">
        <f>(G305/G$26*H$26)*(1+$G$9)*(1+$G$11)*(1+$G$16)</f>
        <v>158670.72412363635</v>
      </c>
      <c r="I305" s="19" t="s">
        <v>53</v>
      </c>
      <c r="J305" s="3"/>
      <c r="K305" s="17"/>
    </row>
    <row r="306" spans="1:26" ht="15" customHeight="1" x14ac:dyDescent="0.2">
      <c r="A306" s="18" t="s">
        <v>50</v>
      </c>
      <c r="B306" s="24" t="s">
        <v>66</v>
      </c>
      <c r="C306" s="25" t="s">
        <v>143</v>
      </c>
      <c r="D306" s="26">
        <v>8931</v>
      </c>
      <c r="E306" s="18" t="s">
        <v>14</v>
      </c>
      <c r="F306" s="179">
        <v>153.81</v>
      </c>
      <c r="G306" s="131">
        <f t="shared" si="19"/>
        <v>2091.8159999999998</v>
      </c>
      <c r="H306" s="106">
        <f>G306*(1+$G$9)*(1+$G$11)*(1+$G$16)</f>
        <v>2166.9121943999999</v>
      </c>
      <c r="I306" s="19" t="s">
        <v>53</v>
      </c>
      <c r="J306" s="3"/>
      <c r="K306" s="17"/>
    </row>
    <row r="307" spans="1:26" ht="15" customHeight="1" x14ac:dyDescent="0.2">
      <c r="A307" s="18" t="s">
        <v>50</v>
      </c>
      <c r="B307" s="24" t="s">
        <v>66</v>
      </c>
      <c r="C307" s="25" t="s">
        <v>144</v>
      </c>
      <c r="D307" s="26">
        <v>9133</v>
      </c>
      <c r="E307" s="18" t="s">
        <v>14</v>
      </c>
      <c r="F307" s="179">
        <v>1567.97</v>
      </c>
      <c r="G307" s="131">
        <f>(F307)*$I$27</f>
        <v>18815.64</v>
      </c>
      <c r="H307" s="106">
        <f>G307*(1+$G$9)*(1+$G$11)*(1+$G$16)</f>
        <v>19491.121476</v>
      </c>
      <c r="I307" s="19" t="s">
        <v>53</v>
      </c>
      <c r="J307" s="3"/>
      <c r="K307" s="4"/>
      <c r="L307" s="84"/>
      <c r="M307" s="5"/>
      <c r="N307" s="29"/>
      <c r="R307" s="5"/>
      <c r="S307" s="5"/>
      <c r="T307" s="5"/>
      <c r="U307" s="5"/>
      <c r="V307" s="5"/>
      <c r="W307" s="5"/>
      <c r="X307" s="5"/>
      <c r="Y307" s="5"/>
      <c r="Z307" s="30"/>
    </row>
    <row r="308" spans="1:26" ht="15" customHeight="1" x14ac:dyDescent="0.2">
      <c r="A308" s="18" t="s">
        <v>50</v>
      </c>
      <c r="B308" s="24" t="s">
        <v>66</v>
      </c>
      <c r="C308" s="18" t="s">
        <v>27</v>
      </c>
      <c r="D308" s="20">
        <v>890</v>
      </c>
      <c r="E308" s="18" t="s">
        <v>19</v>
      </c>
      <c r="F308" s="179">
        <f>18777.66/4-F309</f>
        <v>1770.9274999999998</v>
      </c>
      <c r="G308" s="131">
        <f>(F308)*$G$27</f>
        <v>24084.613999999998</v>
      </c>
      <c r="H308" s="106">
        <f>G308*(1+$G$9)*(1+$G$11)*(1+$G$16)</f>
        <v>24949.2516426</v>
      </c>
      <c r="I308" s="32" t="s">
        <v>57</v>
      </c>
      <c r="J308" s="3"/>
      <c r="K308" s="17"/>
    </row>
    <row r="309" spans="1:26" ht="15" customHeight="1" x14ac:dyDescent="0.2">
      <c r="A309" s="18" t="s">
        <v>50</v>
      </c>
      <c r="B309" s="24" t="s">
        <v>66</v>
      </c>
      <c r="C309" s="18" t="s">
        <v>27</v>
      </c>
      <c r="D309" s="20">
        <v>890</v>
      </c>
      <c r="E309" s="18" t="s">
        <v>174</v>
      </c>
      <c r="F309" s="179">
        <f>11693.95/4</f>
        <v>2923.4875000000002</v>
      </c>
      <c r="G309" s="131">
        <f>(F309)*$G$27</f>
        <v>39759.43</v>
      </c>
      <c r="H309" s="106">
        <f>(G309/G$26*H$26)*(1+$G$9)*(1+$G$11)*(1+$G$16)</f>
        <v>49923.386105454541</v>
      </c>
      <c r="I309" s="32" t="s">
        <v>57</v>
      </c>
      <c r="J309" s="3"/>
      <c r="K309" s="17"/>
    </row>
    <row r="310" spans="1:26" ht="15" customHeight="1" x14ac:dyDescent="0.2">
      <c r="A310" s="18"/>
      <c r="B310" s="24"/>
      <c r="C310" s="25"/>
      <c r="D310" s="26"/>
      <c r="E310" s="18"/>
      <c r="F310" s="179"/>
      <c r="G310" s="131"/>
      <c r="H310" s="106">
        <f>SUM(H301:H309)</f>
        <v>1009568.1109048909</v>
      </c>
      <c r="I310" s="19"/>
      <c r="J310" s="3"/>
      <c r="K310" s="4"/>
      <c r="L310" s="84"/>
      <c r="M310" s="5"/>
      <c r="N310" s="29"/>
      <c r="R310" s="5"/>
      <c r="S310" s="5"/>
      <c r="T310" s="5"/>
      <c r="U310" s="5"/>
      <c r="V310" s="5"/>
      <c r="W310" s="5"/>
      <c r="X310" s="5"/>
      <c r="Y310" s="5"/>
      <c r="Z310" s="30"/>
    </row>
    <row r="311" spans="1:26" ht="15" customHeight="1" x14ac:dyDescent="0.2">
      <c r="A311" s="18" t="s">
        <v>50</v>
      </c>
      <c r="B311" s="24" t="s">
        <v>66</v>
      </c>
      <c r="C311" s="25" t="s">
        <v>28</v>
      </c>
      <c r="D311" s="26">
        <v>870</v>
      </c>
      <c r="E311" s="18" t="s">
        <v>29</v>
      </c>
      <c r="F311" s="179">
        <v>6885.74</v>
      </c>
      <c r="G311" s="131">
        <f>(F311*1.1)*$E$27</f>
        <v>90891.768000000011</v>
      </c>
      <c r="H311" s="106">
        <f t="shared" ref="H311:H322" si="20">G311*(1+$G$9)*(1+$G$11)*(1+$G$16)</f>
        <v>94154.782471200015</v>
      </c>
      <c r="I311" s="19" t="s">
        <v>53</v>
      </c>
      <c r="J311" s="3"/>
      <c r="K311" s="17"/>
    </row>
    <row r="312" spans="1:26" ht="15" customHeight="1" x14ac:dyDescent="0.2">
      <c r="A312" s="18" t="s">
        <v>50</v>
      </c>
      <c r="B312" s="24" t="s">
        <v>66</v>
      </c>
      <c r="C312" s="18" t="s">
        <v>38</v>
      </c>
      <c r="D312" s="20">
        <v>866</v>
      </c>
      <c r="E312" s="18" t="s">
        <v>19</v>
      </c>
      <c r="F312" s="179">
        <f>455.74+177.84</f>
        <v>633.58000000000004</v>
      </c>
      <c r="G312" s="131">
        <f>(F312)*$G$27</f>
        <v>8616.6880000000001</v>
      </c>
      <c r="H312" s="106">
        <f t="shared" si="20"/>
        <v>8926.0270992000005</v>
      </c>
      <c r="I312" s="19" t="s">
        <v>53</v>
      </c>
      <c r="J312" s="3" t="s">
        <v>186</v>
      </c>
      <c r="K312" s="17"/>
    </row>
    <row r="313" spans="1:26" ht="15" customHeight="1" x14ac:dyDescent="0.2">
      <c r="A313" s="18" t="s">
        <v>50</v>
      </c>
      <c r="B313" s="24" t="s">
        <v>66</v>
      </c>
      <c r="C313" s="25" t="s">
        <v>30</v>
      </c>
      <c r="D313" s="26">
        <v>892</v>
      </c>
      <c r="E313" s="18" t="s">
        <v>31</v>
      </c>
      <c r="F313" s="179"/>
      <c r="G313" s="131"/>
      <c r="H313" s="106">
        <f t="shared" si="20"/>
        <v>0</v>
      </c>
      <c r="I313" s="19" t="s">
        <v>53</v>
      </c>
      <c r="J313" s="3"/>
      <c r="K313" s="4"/>
      <c r="L313" s="84"/>
      <c r="M313" s="5"/>
      <c r="N313" s="29"/>
      <c r="R313" s="5"/>
      <c r="S313" s="5"/>
      <c r="T313" s="5"/>
      <c r="U313" s="5"/>
      <c r="V313" s="5"/>
      <c r="W313" s="5"/>
      <c r="X313" s="5"/>
      <c r="Y313" s="5"/>
      <c r="Z313" s="30"/>
    </row>
    <row r="314" spans="1:26" ht="15" customHeight="1" x14ac:dyDescent="0.2">
      <c r="A314" s="18" t="s">
        <v>50</v>
      </c>
      <c r="B314" s="24" t="s">
        <v>66</v>
      </c>
      <c r="C314" s="25" t="s">
        <v>61</v>
      </c>
      <c r="D314" s="26">
        <v>7561</v>
      </c>
      <c r="E314" s="18" t="s">
        <v>43</v>
      </c>
      <c r="F314" s="179"/>
      <c r="G314" s="131">
        <f>(F314)*$G$27</f>
        <v>0</v>
      </c>
      <c r="H314" s="106">
        <f t="shared" si="20"/>
        <v>0</v>
      </c>
      <c r="I314" s="32" t="s">
        <v>57</v>
      </c>
      <c r="J314" s="3"/>
      <c r="K314" s="17"/>
    </row>
    <row r="315" spans="1:26" ht="15" customHeight="1" x14ac:dyDescent="0.2">
      <c r="A315" s="18" t="s">
        <v>50</v>
      </c>
      <c r="B315" s="24" t="s">
        <v>66</v>
      </c>
      <c r="C315" s="25" t="s">
        <v>16</v>
      </c>
      <c r="D315" s="26">
        <v>885</v>
      </c>
      <c r="E315" s="18" t="s">
        <v>17</v>
      </c>
      <c r="F315" s="179"/>
      <c r="G315" s="131">
        <f>(F315)*$G$27</f>
        <v>0</v>
      </c>
      <c r="H315" s="106">
        <f t="shared" si="20"/>
        <v>0</v>
      </c>
      <c r="I315" s="32" t="s">
        <v>57</v>
      </c>
      <c r="J315" s="3"/>
      <c r="K315" s="17"/>
    </row>
    <row r="316" spans="1:26" ht="15" customHeight="1" x14ac:dyDescent="0.2">
      <c r="A316" s="18" t="s">
        <v>50</v>
      </c>
      <c r="B316" s="24" t="s">
        <v>66</v>
      </c>
      <c r="C316" s="18" t="s">
        <v>38</v>
      </c>
      <c r="D316" s="20">
        <v>865</v>
      </c>
      <c r="E316" s="18" t="s">
        <v>19</v>
      </c>
      <c r="F316" s="179"/>
      <c r="G316" s="131">
        <f>(F316)*$G$27</f>
        <v>0</v>
      </c>
      <c r="H316" s="106">
        <f t="shared" si="20"/>
        <v>0</v>
      </c>
      <c r="I316" s="32" t="s">
        <v>57</v>
      </c>
      <c r="J316" s="3"/>
      <c r="K316" s="17"/>
    </row>
    <row r="317" spans="1:26" ht="15" customHeight="1" x14ac:dyDescent="0.2">
      <c r="A317" s="18" t="s">
        <v>50</v>
      </c>
      <c r="B317" s="24" t="s">
        <v>66</v>
      </c>
      <c r="C317" s="25" t="s">
        <v>21</v>
      </c>
      <c r="D317" s="26">
        <v>8933</v>
      </c>
      <c r="E317" s="18"/>
      <c r="F317" s="179"/>
      <c r="G317" s="131">
        <f>(F317)*$G$27</f>
        <v>0</v>
      </c>
      <c r="H317" s="106">
        <f t="shared" si="20"/>
        <v>0</v>
      </c>
      <c r="I317" s="32" t="s">
        <v>57</v>
      </c>
      <c r="J317" s="3"/>
      <c r="K317" s="17"/>
    </row>
    <row r="318" spans="1:26" ht="15" customHeight="1" x14ac:dyDescent="0.2">
      <c r="A318" s="18" t="s">
        <v>50</v>
      </c>
      <c r="B318" s="24" t="s">
        <v>66</v>
      </c>
      <c r="C318" s="25" t="s">
        <v>35</v>
      </c>
      <c r="D318" s="26">
        <v>888</v>
      </c>
      <c r="E318" s="18" t="s">
        <v>26</v>
      </c>
      <c r="F318" s="179"/>
      <c r="G318" s="131">
        <f>(F318)*$G$27</f>
        <v>0</v>
      </c>
      <c r="H318" s="106">
        <f t="shared" si="20"/>
        <v>0</v>
      </c>
      <c r="I318" s="32" t="s">
        <v>57</v>
      </c>
      <c r="J318" s="3"/>
      <c r="K318" s="17"/>
    </row>
    <row r="319" spans="1:26" ht="15" customHeight="1" x14ac:dyDescent="0.2">
      <c r="A319" s="18" t="s">
        <v>50</v>
      </c>
      <c r="B319" s="24" t="s">
        <v>66</v>
      </c>
      <c r="C319" s="25" t="s">
        <v>28</v>
      </c>
      <c r="D319" s="26">
        <v>869</v>
      </c>
      <c r="E319" s="18" t="s">
        <v>29</v>
      </c>
      <c r="F319" s="179"/>
      <c r="G319" s="131">
        <f>(F319*1.1)*$E$27</f>
        <v>0</v>
      </c>
      <c r="H319" s="106">
        <f t="shared" si="20"/>
        <v>0</v>
      </c>
      <c r="I319" s="32" t="s">
        <v>57</v>
      </c>
      <c r="J319" s="3"/>
      <c r="K319" s="17"/>
    </row>
    <row r="320" spans="1:26" ht="15" customHeight="1" x14ac:dyDescent="0.2">
      <c r="A320" s="18" t="s">
        <v>50</v>
      </c>
      <c r="B320" s="24" t="s">
        <v>66</v>
      </c>
      <c r="C320" s="25" t="s">
        <v>143</v>
      </c>
      <c r="D320" s="26">
        <v>8932</v>
      </c>
      <c r="E320" s="18" t="s">
        <v>14</v>
      </c>
      <c r="F320" s="179"/>
      <c r="G320" s="131">
        <f>(F320)*$G$27</f>
        <v>0</v>
      </c>
      <c r="H320" s="106">
        <f t="shared" si="20"/>
        <v>0</v>
      </c>
      <c r="I320" s="32" t="s">
        <v>57</v>
      </c>
      <c r="J320" s="3"/>
      <c r="K320" s="17"/>
    </row>
    <row r="321" spans="1:26" ht="15" customHeight="1" x14ac:dyDescent="0.2">
      <c r="A321" s="18" t="s">
        <v>50</v>
      </c>
      <c r="B321" s="24" t="s">
        <v>66</v>
      </c>
      <c r="C321" s="25" t="s">
        <v>144</v>
      </c>
      <c r="D321" s="26">
        <v>9134</v>
      </c>
      <c r="E321" s="18" t="s">
        <v>14</v>
      </c>
      <c r="F321" s="179"/>
      <c r="G321" s="131">
        <f>(F321)*$I$27</f>
        <v>0</v>
      </c>
      <c r="H321" s="106">
        <f t="shared" si="20"/>
        <v>0</v>
      </c>
      <c r="I321" s="32" t="s">
        <v>57</v>
      </c>
      <c r="J321" s="3"/>
      <c r="K321" s="4"/>
      <c r="L321" s="84"/>
      <c r="M321" s="5"/>
      <c r="N321" s="29"/>
      <c r="R321" s="5"/>
      <c r="S321" s="5"/>
      <c r="T321" s="5"/>
      <c r="U321" s="5"/>
      <c r="V321" s="5"/>
      <c r="W321" s="5"/>
      <c r="X321" s="5"/>
      <c r="Y321" s="5"/>
      <c r="Z321" s="30"/>
    </row>
    <row r="322" spans="1:26" ht="15" customHeight="1" x14ac:dyDescent="0.2">
      <c r="A322" s="18" t="s">
        <v>50</v>
      </c>
      <c r="B322" s="24" t="s">
        <v>66</v>
      </c>
      <c r="C322" s="25" t="s">
        <v>30</v>
      </c>
      <c r="D322" s="26">
        <v>7562</v>
      </c>
      <c r="E322" s="18" t="s">
        <v>31</v>
      </c>
      <c r="F322" s="179"/>
      <c r="G322" s="131"/>
      <c r="H322" s="106">
        <f t="shared" si="20"/>
        <v>0</v>
      </c>
      <c r="I322" s="32" t="s">
        <v>57</v>
      </c>
      <c r="J322" s="3"/>
      <c r="K322" s="4"/>
      <c r="L322" s="84"/>
      <c r="M322" s="5"/>
      <c r="N322" s="29"/>
      <c r="R322" s="5"/>
      <c r="S322" s="5"/>
      <c r="T322" s="5"/>
      <c r="U322" s="5"/>
      <c r="V322" s="5"/>
      <c r="W322" s="5"/>
      <c r="X322" s="5"/>
      <c r="Y322" s="5"/>
      <c r="Z322" s="30"/>
    </row>
    <row r="323" spans="1:26" ht="15" customHeight="1" x14ac:dyDescent="0.2">
      <c r="A323" s="111"/>
      <c r="B323" s="112"/>
      <c r="C323" s="113"/>
      <c r="D323" s="114"/>
      <c r="E323" s="111"/>
      <c r="F323" s="180">
        <f>SUM(F300:F322)</f>
        <v>76773.035000000018</v>
      </c>
      <c r="G323" s="123">
        <f>SUM(G300:G322)</f>
        <v>1038850.228</v>
      </c>
      <c r="H323" s="123">
        <f>SUM(H310:H322)</f>
        <v>1112648.9204752911</v>
      </c>
      <c r="I323" s="31">
        <f>SUM(I300:I319)</f>
        <v>0</v>
      </c>
      <c r="J323" s="3"/>
      <c r="K323" s="17"/>
    </row>
    <row r="324" spans="1:26" ht="15" customHeight="1" x14ac:dyDescent="0.2">
      <c r="A324" s="18" t="s">
        <v>50</v>
      </c>
      <c r="B324" s="24" t="s">
        <v>67</v>
      </c>
      <c r="C324" s="25" t="s">
        <v>61</v>
      </c>
      <c r="D324" s="26">
        <v>605</v>
      </c>
      <c r="E324" s="18" t="s">
        <v>43</v>
      </c>
      <c r="F324" s="179">
        <v>0</v>
      </c>
      <c r="G324" s="131">
        <f>(F324)*$G$27</f>
        <v>0</v>
      </c>
      <c r="H324" s="106">
        <f t="shared" ref="H324:H332" si="21">G324*(1+$G$9)*(1+$G$11)*(1+$G$16)</f>
        <v>0</v>
      </c>
      <c r="I324" s="19" t="s">
        <v>53</v>
      </c>
      <c r="J324" s="3"/>
      <c r="K324" s="17"/>
    </row>
    <row r="325" spans="1:26" ht="15" customHeight="1" x14ac:dyDescent="0.2">
      <c r="A325" s="18" t="s">
        <v>50</v>
      </c>
      <c r="B325" s="24" t="s">
        <v>67</v>
      </c>
      <c r="C325" s="25" t="s">
        <v>16</v>
      </c>
      <c r="D325" s="26">
        <v>611</v>
      </c>
      <c r="E325" s="18" t="s">
        <v>17</v>
      </c>
      <c r="F325" s="179"/>
      <c r="G325" s="131">
        <f>(F325)*$G$27</f>
        <v>0</v>
      </c>
      <c r="H325" s="106">
        <f t="shared" si="21"/>
        <v>0</v>
      </c>
      <c r="I325" s="19" t="s">
        <v>53</v>
      </c>
      <c r="J325" s="3"/>
      <c r="K325" s="17"/>
    </row>
    <row r="326" spans="1:26" ht="15" customHeight="1" x14ac:dyDescent="0.2">
      <c r="A326" s="18" t="s">
        <v>50</v>
      </c>
      <c r="B326" s="24" t="s">
        <v>67</v>
      </c>
      <c r="C326" s="18" t="s">
        <v>18</v>
      </c>
      <c r="D326" s="20">
        <v>585</v>
      </c>
      <c r="E326" s="18" t="s">
        <v>19</v>
      </c>
      <c r="F326" s="179"/>
      <c r="G326" s="131">
        <f>(F326)*$G$27</f>
        <v>0</v>
      </c>
      <c r="H326" s="106">
        <f t="shared" si="21"/>
        <v>0</v>
      </c>
      <c r="I326" s="19" t="s">
        <v>53</v>
      </c>
      <c r="J326" s="3"/>
      <c r="K326" s="17"/>
    </row>
    <row r="327" spans="1:26" ht="15" customHeight="1" x14ac:dyDescent="0.2">
      <c r="A327" s="18" t="s">
        <v>50</v>
      </c>
      <c r="B327" s="24" t="s">
        <v>67</v>
      </c>
      <c r="C327" s="25" t="s">
        <v>48</v>
      </c>
      <c r="D327" s="26">
        <v>614</v>
      </c>
      <c r="E327" s="18" t="s">
        <v>22</v>
      </c>
      <c r="F327" s="179"/>
      <c r="G327" s="131">
        <f>(F327)*$G$27</f>
        <v>0</v>
      </c>
      <c r="H327" s="106">
        <f t="shared" si="21"/>
        <v>0</v>
      </c>
      <c r="I327" s="19" t="s">
        <v>53</v>
      </c>
      <c r="J327" s="3"/>
      <c r="K327" s="17"/>
    </row>
    <row r="328" spans="1:26" ht="15" customHeight="1" x14ac:dyDescent="0.2">
      <c r="A328" s="18" t="s">
        <v>50</v>
      </c>
      <c r="B328" s="24" t="s">
        <v>67</v>
      </c>
      <c r="C328" s="18" t="s">
        <v>27</v>
      </c>
      <c r="D328" s="20">
        <v>619</v>
      </c>
      <c r="E328" s="18" t="s">
        <v>19</v>
      </c>
      <c r="F328" s="179"/>
      <c r="G328" s="131">
        <f>(F328)*$G$27</f>
        <v>0</v>
      </c>
      <c r="H328" s="106">
        <f t="shared" si="21"/>
        <v>0</v>
      </c>
      <c r="I328" s="19" t="s">
        <v>53</v>
      </c>
      <c r="J328" s="3"/>
      <c r="K328" s="17"/>
    </row>
    <row r="329" spans="1:26" ht="15" customHeight="1" x14ac:dyDescent="0.2">
      <c r="A329" s="18" t="s">
        <v>50</v>
      </c>
      <c r="B329" s="24" t="s">
        <v>68</v>
      </c>
      <c r="C329" s="25" t="s">
        <v>28</v>
      </c>
      <c r="D329" s="26">
        <v>7563</v>
      </c>
      <c r="E329" s="18" t="s">
        <v>29</v>
      </c>
      <c r="F329" s="179"/>
      <c r="G329" s="131">
        <f>(F329*1.1)*$E$27</f>
        <v>0</v>
      </c>
      <c r="H329" s="106">
        <f t="shared" si="21"/>
        <v>0</v>
      </c>
      <c r="I329" s="19" t="s">
        <v>53</v>
      </c>
      <c r="J329" s="3"/>
      <c r="K329" s="17"/>
    </row>
    <row r="330" spans="1:26" ht="15" customHeight="1" x14ac:dyDescent="0.2">
      <c r="A330" s="18" t="s">
        <v>50</v>
      </c>
      <c r="B330" s="24" t="s">
        <v>68</v>
      </c>
      <c r="C330" s="25" t="s">
        <v>143</v>
      </c>
      <c r="D330" s="26">
        <v>8934</v>
      </c>
      <c r="E330" s="18" t="s">
        <v>14</v>
      </c>
      <c r="F330" s="179"/>
      <c r="G330" s="131">
        <f>(F330)*$G$27</f>
        <v>0</v>
      </c>
      <c r="H330" s="106">
        <f t="shared" si="21"/>
        <v>0</v>
      </c>
      <c r="I330" s="19" t="s">
        <v>53</v>
      </c>
      <c r="J330" s="3"/>
      <c r="K330" s="17"/>
    </row>
    <row r="331" spans="1:26" ht="15" customHeight="1" x14ac:dyDescent="0.2">
      <c r="A331" s="18" t="s">
        <v>50</v>
      </c>
      <c r="B331" s="24" t="s">
        <v>68</v>
      </c>
      <c r="C331" s="25" t="s">
        <v>144</v>
      </c>
      <c r="D331" s="26">
        <v>9135</v>
      </c>
      <c r="E331" s="18" t="s">
        <v>14</v>
      </c>
      <c r="F331" s="179"/>
      <c r="G331" s="131">
        <f>(F331)*$I$27</f>
        <v>0</v>
      </c>
      <c r="H331" s="106">
        <f t="shared" si="21"/>
        <v>0</v>
      </c>
      <c r="I331" s="19" t="s">
        <v>53</v>
      </c>
      <c r="J331" s="3"/>
      <c r="K331" s="4"/>
      <c r="L331" s="84"/>
      <c r="M331" s="5"/>
      <c r="N331" s="29"/>
      <c r="R331" s="5"/>
      <c r="S331" s="5"/>
      <c r="T331" s="5"/>
      <c r="U331" s="5"/>
      <c r="V331" s="5"/>
      <c r="W331" s="5"/>
      <c r="X331" s="5"/>
      <c r="Y331" s="5"/>
      <c r="Z331" s="30"/>
    </row>
    <row r="332" spans="1:26" ht="15" customHeight="1" x14ac:dyDescent="0.2">
      <c r="A332" s="18" t="s">
        <v>50</v>
      </c>
      <c r="B332" s="24" t="s">
        <v>67</v>
      </c>
      <c r="C332" s="25" t="s">
        <v>30</v>
      </c>
      <c r="D332" s="26">
        <v>622</v>
      </c>
      <c r="E332" s="18" t="s">
        <v>31</v>
      </c>
      <c r="F332" s="179"/>
      <c r="G332" s="131"/>
      <c r="H332" s="106">
        <f t="shared" si="21"/>
        <v>0</v>
      </c>
      <c r="I332" s="19" t="s">
        <v>53</v>
      </c>
      <c r="J332" s="3"/>
      <c r="K332" s="4"/>
      <c r="L332" s="84"/>
      <c r="M332" s="5"/>
      <c r="N332" s="29"/>
      <c r="R332" s="5"/>
      <c r="S332" s="5"/>
      <c r="T332" s="5"/>
      <c r="U332" s="5"/>
      <c r="V332" s="5"/>
      <c r="W332" s="5"/>
      <c r="X332" s="5"/>
      <c r="Y332" s="5"/>
      <c r="Z332" s="30"/>
    </row>
    <row r="333" spans="1:26" ht="15" customHeight="1" x14ac:dyDescent="0.2">
      <c r="A333" s="111"/>
      <c r="B333" s="112"/>
      <c r="C333" s="113"/>
      <c r="D333" s="114"/>
      <c r="E333" s="111"/>
      <c r="F333" s="183"/>
      <c r="G333" s="125">
        <f>SUM(G324:G332)</f>
        <v>0</v>
      </c>
      <c r="H333" s="125">
        <f t="shared" ref="H333" si="22">SUM(H324:H332)</f>
        <v>0</v>
      </c>
      <c r="I333" s="19"/>
      <c r="J333" s="3"/>
      <c r="K333" s="17"/>
    </row>
    <row r="334" spans="1:26" ht="15" customHeight="1" x14ac:dyDescent="0.2">
      <c r="A334" s="18"/>
      <c r="B334" s="24"/>
      <c r="C334" s="25"/>
      <c r="D334" s="26"/>
      <c r="E334" s="18"/>
      <c r="F334" s="179">
        <v>0</v>
      </c>
      <c r="G334" s="131"/>
      <c r="H334" s="106">
        <f t="shared" ref="H334:H339" si="23">G334*(1+$G$9)*(1+$G$11)*(1+$G$16)</f>
        <v>0</v>
      </c>
      <c r="I334" s="19"/>
      <c r="J334" s="3"/>
      <c r="K334" s="17"/>
    </row>
    <row r="335" spans="1:26" ht="15" customHeight="1" x14ac:dyDescent="0.2">
      <c r="A335" s="18" t="s">
        <v>50</v>
      </c>
      <c r="B335" s="24" t="s">
        <v>68</v>
      </c>
      <c r="C335" s="25" t="s">
        <v>61</v>
      </c>
      <c r="D335" s="26">
        <v>604</v>
      </c>
      <c r="E335" s="18" t="s">
        <v>43</v>
      </c>
      <c r="F335" s="179"/>
      <c r="G335" s="131">
        <f>(F335)*$G$27</f>
        <v>0</v>
      </c>
      <c r="H335" s="106">
        <f t="shared" si="23"/>
        <v>0</v>
      </c>
      <c r="I335" s="19" t="s">
        <v>57</v>
      </c>
      <c r="J335" s="3"/>
      <c r="K335" s="17"/>
    </row>
    <row r="336" spans="1:26" ht="15" customHeight="1" x14ac:dyDescent="0.2">
      <c r="A336" s="18" t="s">
        <v>50</v>
      </c>
      <c r="B336" s="24" t="s">
        <v>68</v>
      </c>
      <c r="C336" s="25" t="s">
        <v>16</v>
      </c>
      <c r="D336" s="26">
        <v>610</v>
      </c>
      <c r="E336" s="18" t="s">
        <v>17</v>
      </c>
      <c r="F336" s="179">
        <f>194612.8-771.28-717.03-6271.5</f>
        <v>186852.99</v>
      </c>
      <c r="G336" s="131">
        <f>(F336)*$G$27</f>
        <v>2541200.6639999999</v>
      </c>
      <c r="H336" s="106">
        <f t="shared" si="23"/>
        <v>2632429.7678375999</v>
      </c>
      <c r="I336" s="19" t="s">
        <v>57</v>
      </c>
      <c r="J336" s="3"/>
      <c r="K336" s="17"/>
    </row>
    <row r="337" spans="1:26" ht="15" customHeight="1" x14ac:dyDescent="0.2">
      <c r="A337" s="18" t="s">
        <v>50</v>
      </c>
      <c r="B337" s="24" t="s">
        <v>68</v>
      </c>
      <c r="C337" s="25" t="s">
        <v>48</v>
      </c>
      <c r="D337" s="26">
        <v>613</v>
      </c>
      <c r="E337" s="18" t="s">
        <v>22</v>
      </c>
      <c r="F337" s="179">
        <v>6271.5</v>
      </c>
      <c r="G337" s="131">
        <f>(F337)*$G$27</f>
        <v>85292.4</v>
      </c>
      <c r="H337" s="106">
        <f t="shared" si="23"/>
        <v>88354.397159999993</v>
      </c>
      <c r="I337" s="19" t="s">
        <v>57</v>
      </c>
      <c r="J337" s="3"/>
      <c r="K337" s="17"/>
      <c r="M337" s="35"/>
    </row>
    <row r="338" spans="1:26" ht="15" customHeight="1" x14ac:dyDescent="0.2">
      <c r="A338" s="18" t="s">
        <v>50</v>
      </c>
      <c r="B338" s="24" t="s">
        <v>68</v>
      </c>
      <c r="C338" s="25" t="s">
        <v>35</v>
      </c>
      <c r="D338" s="26">
        <v>616</v>
      </c>
      <c r="E338" s="18" t="s">
        <v>26</v>
      </c>
      <c r="F338" s="179"/>
      <c r="G338" s="131">
        <f>F338</f>
        <v>0</v>
      </c>
      <c r="H338" s="106">
        <f t="shared" si="23"/>
        <v>0</v>
      </c>
      <c r="I338" s="19" t="s">
        <v>57</v>
      </c>
      <c r="J338" s="3"/>
      <c r="K338" s="17"/>
      <c r="L338" s="17"/>
      <c r="N338" s="35"/>
    </row>
    <row r="339" spans="1:26" ht="15" customHeight="1" x14ac:dyDescent="0.2">
      <c r="A339" s="18" t="s">
        <v>50</v>
      </c>
      <c r="B339" s="24" t="s">
        <v>68</v>
      </c>
      <c r="C339" s="18" t="s">
        <v>172</v>
      </c>
      <c r="D339" s="20">
        <v>618</v>
      </c>
      <c r="E339" s="18" t="s">
        <v>19</v>
      </c>
      <c r="F339" s="179">
        <f>372414.69/4-F340</f>
        <v>35122.715000000004</v>
      </c>
      <c r="G339" s="131">
        <f>(F339)*$G$27</f>
        <v>477668.92400000006</v>
      </c>
      <c r="H339" s="106">
        <f t="shared" si="23"/>
        <v>494817.23837160011</v>
      </c>
      <c r="I339" s="19" t="s">
        <v>57</v>
      </c>
      <c r="J339" s="3"/>
      <c r="K339" s="17"/>
    </row>
    <row r="340" spans="1:26" ht="15" customHeight="1" x14ac:dyDescent="0.2">
      <c r="A340" s="18" t="s">
        <v>50</v>
      </c>
      <c r="B340" s="24" t="s">
        <v>68</v>
      </c>
      <c r="C340" s="18" t="s">
        <v>173</v>
      </c>
      <c r="D340" s="20">
        <v>618</v>
      </c>
      <c r="E340" s="18" t="s">
        <v>174</v>
      </c>
      <c r="F340" s="179">
        <f>231923.83/4</f>
        <v>57980.957499999997</v>
      </c>
      <c r="G340" s="131">
        <f>(F340)*$G$27</f>
        <v>788541.02199999988</v>
      </c>
      <c r="H340" s="106">
        <f>(G340/G$26*H$26)*(1+$G$9)*(1+$G$11)*(1+$G$16)</f>
        <v>990120.78144218179</v>
      </c>
      <c r="I340" s="19" t="s">
        <v>57</v>
      </c>
      <c r="J340" s="3"/>
      <c r="K340" s="17"/>
    </row>
    <row r="341" spans="1:26" ht="15" customHeight="1" x14ac:dyDescent="0.2">
      <c r="A341" s="18" t="s">
        <v>50</v>
      </c>
      <c r="B341" s="24" t="s">
        <v>68</v>
      </c>
      <c r="C341" s="25" t="s">
        <v>143</v>
      </c>
      <c r="D341" s="26">
        <v>8935</v>
      </c>
      <c r="E341" s="18" t="s">
        <v>14</v>
      </c>
      <c r="F341" s="179"/>
      <c r="G341" s="131">
        <f>(F341)*$G$27</f>
        <v>0</v>
      </c>
      <c r="H341" s="106">
        <f>G341*(1+$G$9)*(1+$G$11)*(1+$G$16)</f>
        <v>0</v>
      </c>
      <c r="I341" s="19" t="s">
        <v>57</v>
      </c>
      <c r="J341" s="3"/>
      <c r="K341" s="17"/>
    </row>
    <row r="342" spans="1:26" ht="15" customHeight="1" x14ac:dyDescent="0.2">
      <c r="A342" s="18" t="s">
        <v>50</v>
      </c>
      <c r="B342" s="24" t="s">
        <v>68</v>
      </c>
      <c r="C342" s="25" t="s">
        <v>144</v>
      </c>
      <c r="D342" s="26">
        <v>9136</v>
      </c>
      <c r="E342" s="18" t="s">
        <v>14</v>
      </c>
      <c r="F342" s="179">
        <v>5319.67</v>
      </c>
      <c r="G342" s="131">
        <f>(F342)*$I$27</f>
        <v>63836.04</v>
      </c>
      <c r="H342" s="106">
        <f>G342*(1+$G$9)*(1+$G$11)*(1+$G$16)</f>
        <v>66127.753836000004</v>
      </c>
      <c r="I342" s="19" t="s">
        <v>57</v>
      </c>
      <c r="J342" s="3"/>
      <c r="K342" s="4"/>
      <c r="L342" s="84"/>
      <c r="M342" s="5"/>
      <c r="N342" s="29"/>
      <c r="R342" s="5"/>
      <c r="S342" s="5"/>
      <c r="T342" s="5"/>
      <c r="U342" s="5"/>
      <c r="V342" s="5"/>
      <c r="W342" s="5"/>
      <c r="X342" s="5"/>
      <c r="Y342" s="5"/>
      <c r="Z342" s="30"/>
    </row>
    <row r="343" spans="1:26" ht="15" customHeight="1" x14ac:dyDescent="0.2">
      <c r="A343" s="18"/>
      <c r="B343" s="24"/>
      <c r="C343" s="25"/>
      <c r="D343" s="26"/>
      <c r="E343" s="18"/>
      <c r="F343" s="179"/>
      <c r="G343" s="131"/>
      <c r="H343" s="106">
        <f>SUM(H336:H342)</f>
        <v>4271849.938647382</v>
      </c>
      <c r="I343" s="21">
        <f>SUM(H343:H343)</f>
        <v>4271849.938647382</v>
      </c>
      <c r="J343" s="3"/>
      <c r="K343" s="4"/>
      <c r="L343" s="84"/>
      <c r="M343" s="5"/>
      <c r="N343" s="29"/>
      <c r="R343" s="5"/>
      <c r="S343" s="5"/>
      <c r="T343" s="5"/>
      <c r="U343" s="5"/>
      <c r="V343" s="5"/>
      <c r="W343" s="5"/>
      <c r="X343" s="5"/>
      <c r="Y343" s="5"/>
      <c r="Z343" s="30"/>
    </row>
    <row r="344" spans="1:26" ht="15" customHeight="1" x14ac:dyDescent="0.2">
      <c r="A344" s="18" t="s">
        <v>50</v>
      </c>
      <c r="B344" s="24" t="s">
        <v>68</v>
      </c>
      <c r="C344" s="25" t="s">
        <v>28</v>
      </c>
      <c r="D344" s="26">
        <v>589</v>
      </c>
      <c r="E344" s="18" t="s">
        <v>29</v>
      </c>
      <c r="F344" s="179">
        <v>19160.32</v>
      </c>
      <c r="G344" s="131">
        <f>(F344*1.1)*$E$27</f>
        <v>252916.22400000005</v>
      </c>
      <c r="H344" s="106">
        <f>G344*(1+$G$9)*(1+$G$11)*(1+$G$16)</f>
        <v>261995.91644160007</v>
      </c>
      <c r="I344" s="19" t="s">
        <v>57</v>
      </c>
      <c r="J344" s="3"/>
      <c r="K344" s="17"/>
    </row>
    <row r="345" spans="1:26" ht="15" customHeight="1" x14ac:dyDescent="0.2">
      <c r="A345" s="18" t="s">
        <v>50</v>
      </c>
      <c r="B345" s="24" t="s">
        <v>68</v>
      </c>
      <c r="C345" s="18" t="s">
        <v>18</v>
      </c>
      <c r="D345" s="20">
        <v>584</v>
      </c>
      <c r="E345" s="18" t="s">
        <v>19</v>
      </c>
      <c r="F345" s="179"/>
      <c r="G345" s="131">
        <f>(F345)*$G$27</f>
        <v>0</v>
      </c>
      <c r="H345" s="106">
        <f>G345*(1+$G$9)*(1+$G$11)*(1+$G$16)</f>
        <v>0</v>
      </c>
      <c r="I345" s="19" t="s">
        <v>57</v>
      </c>
      <c r="J345" s="3"/>
      <c r="K345" s="17"/>
      <c r="L345" s="17"/>
      <c r="M345" s="4"/>
      <c r="N345" s="34"/>
    </row>
    <row r="346" spans="1:26" ht="15" customHeight="1" x14ac:dyDescent="0.2">
      <c r="A346" s="18" t="s">
        <v>50</v>
      </c>
      <c r="B346" s="24" t="s">
        <v>68</v>
      </c>
      <c r="C346" s="25" t="s">
        <v>30</v>
      </c>
      <c r="D346" s="26">
        <v>621</v>
      </c>
      <c r="E346" s="18" t="s">
        <v>31</v>
      </c>
      <c r="F346" s="179"/>
      <c r="G346" s="131"/>
      <c r="H346" s="106">
        <f>G346*(1+$G$9)*(1+$G$11)*(1+$G$16)</f>
        <v>0</v>
      </c>
      <c r="I346" s="19" t="s">
        <v>57</v>
      </c>
      <c r="J346" s="3"/>
      <c r="K346" s="4"/>
      <c r="L346" s="84"/>
      <c r="M346" s="5"/>
      <c r="N346" s="29"/>
      <c r="R346" s="5"/>
      <c r="S346" s="5"/>
      <c r="T346" s="5"/>
      <c r="U346" s="5"/>
      <c r="V346" s="5"/>
      <c r="W346" s="5"/>
      <c r="X346" s="5"/>
      <c r="Y346" s="5"/>
      <c r="Z346" s="30"/>
    </row>
    <row r="347" spans="1:26" ht="15" customHeight="1" x14ac:dyDescent="0.2">
      <c r="A347" s="111"/>
      <c r="B347" s="112"/>
      <c r="C347" s="113"/>
      <c r="D347" s="114"/>
      <c r="E347" s="111"/>
      <c r="F347" s="180">
        <f>SUM(F335:F346)</f>
        <v>310708.15249999997</v>
      </c>
      <c r="G347" s="123">
        <f>SUM(G335:G346)</f>
        <v>4209455.2740000002</v>
      </c>
      <c r="H347" s="123">
        <f>SUM(H343:H346)</f>
        <v>4533845.8550889818</v>
      </c>
      <c r="I347" s="19"/>
      <c r="J347" s="3"/>
      <c r="K347" s="17"/>
    </row>
    <row r="348" spans="1:26" ht="15" customHeight="1" x14ac:dyDescent="0.2">
      <c r="A348" s="18" t="s">
        <v>50</v>
      </c>
      <c r="B348" s="24" t="s">
        <v>69</v>
      </c>
      <c r="C348" s="25" t="s">
        <v>61</v>
      </c>
      <c r="D348" s="26">
        <v>603</v>
      </c>
      <c r="E348" s="18" t="s">
        <v>43</v>
      </c>
      <c r="F348" s="179"/>
      <c r="G348" s="131">
        <f t="shared" ref="G348:G354" si="24">(F348)*$G$27</f>
        <v>0</v>
      </c>
      <c r="H348" s="106">
        <f>G348*(1+$G$9)*(1+$G$11)*(1+$G$16)</f>
        <v>0</v>
      </c>
      <c r="I348" s="19" t="s">
        <v>15</v>
      </c>
      <c r="J348" s="3"/>
      <c r="K348" s="17"/>
      <c r="L348" s="80"/>
      <c r="N348" s="35"/>
    </row>
    <row r="349" spans="1:26" ht="15" customHeight="1" x14ac:dyDescent="0.2">
      <c r="A349" s="18" t="s">
        <v>50</v>
      </c>
      <c r="B349" s="24" t="s">
        <v>69</v>
      </c>
      <c r="C349" s="25" t="s">
        <v>16</v>
      </c>
      <c r="D349" s="26">
        <v>609</v>
      </c>
      <c r="E349" s="18" t="s">
        <v>17</v>
      </c>
      <c r="F349" s="179">
        <v>19580.29</v>
      </c>
      <c r="G349" s="131">
        <f t="shared" si="24"/>
        <v>266291.94400000002</v>
      </c>
      <c r="H349" s="106">
        <f>G349*(1+$G$9)*(1+$G$11)*(1+$G$16)</f>
        <v>275851.82478960004</v>
      </c>
      <c r="I349" s="19" t="s">
        <v>15</v>
      </c>
      <c r="J349" s="3"/>
      <c r="K349" s="17"/>
    </row>
    <row r="350" spans="1:26" ht="15" customHeight="1" x14ac:dyDescent="0.2">
      <c r="A350" s="18" t="s">
        <v>50</v>
      </c>
      <c r="B350" s="24" t="s">
        <v>69</v>
      </c>
      <c r="C350" s="25" t="s">
        <v>48</v>
      </c>
      <c r="D350" s="26">
        <v>612</v>
      </c>
      <c r="E350" s="18" t="s">
        <v>22</v>
      </c>
      <c r="F350" s="179"/>
      <c r="G350" s="131">
        <f t="shared" si="24"/>
        <v>0</v>
      </c>
      <c r="H350" s="106">
        <f>G350*(1+$G$9)*(1+$G$11)*(1+$G$16)</f>
        <v>0</v>
      </c>
      <c r="I350" s="19" t="s">
        <v>15</v>
      </c>
      <c r="J350" s="3"/>
      <c r="K350" s="17"/>
    </row>
    <row r="351" spans="1:26" ht="15" customHeight="1" x14ac:dyDescent="0.2">
      <c r="A351" s="18" t="s">
        <v>50</v>
      </c>
      <c r="B351" s="24" t="s">
        <v>69</v>
      </c>
      <c r="C351" s="25" t="s">
        <v>35</v>
      </c>
      <c r="D351" s="26">
        <v>615</v>
      </c>
      <c r="E351" s="18" t="s">
        <v>26</v>
      </c>
      <c r="F351" s="179"/>
      <c r="G351" s="131">
        <f t="shared" si="24"/>
        <v>0</v>
      </c>
      <c r="H351" s="106">
        <f>G351*(1+$G$9)*(1+$G$11)*(1+$G$16)</f>
        <v>0</v>
      </c>
      <c r="I351" s="19" t="s">
        <v>15</v>
      </c>
      <c r="J351" s="3"/>
      <c r="K351" s="17"/>
    </row>
    <row r="352" spans="1:26" ht="15" customHeight="1" x14ac:dyDescent="0.2">
      <c r="A352" s="18" t="s">
        <v>50</v>
      </c>
      <c r="B352" s="24" t="s">
        <v>69</v>
      </c>
      <c r="C352" s="18" t="s">
        <v>172</v>
      </c>
      <c r="D352" s="20">
        <v>617</v>
      </c>
      <c r="E352" s="18" t="s">
        <v>19</v>
      </c>
      <c r="F352" s="179">
        <f>26170.8/4-F353</f>
        <v>2468.1999999999998</v>
      </c>
      <c r="G352" s="131">
        <f t="shared" si="24"/>
        <v>33567.519999999997</v>
      </c>
      <c r="H352" s="106">
        <f>G352*(1+$G$9)*(1+$G$11)*(1+$G$16)</f>
        <v>34772.593968000001</v>
      </c>
      <c r="I352" s="19" t="s">
        <v>15</v>
      </c>
      <c r="J352" s="3"/>
      <c r="K352" s="17"/>
    </row>
    <row r="353" spans="1:26" ht="15" customHeight="1" x14ac:dyDescent="0.2">
      <c r="A353" s="18" t="s">
        <v>50</v>
      </c>
      <c r="B353" s="24" t="s">
        <v>69</v>
      </c>
      <c r="C353" s="18" t="s">
        <v>173</v>
      </c>
      <c r="D353" s="20">
        <v>617</v>
      </c>
      <c r="E353" s="18" t="s">
        <v>174</v>
      </c>
      <c r="F353" s="179">
        <f>16298/4</f>
        <v>4074.5</v>
      </c>
      <c r="G353" s="131">
        <f t="shared" si="24"/>
        <v>55413.2</v>
      </c>
      <c r="H353" s="106">
        <f>(G353/G$26*H$26)*(1+$G$9)*(1+$G$11)*(1+$G$16)</f>
        <v>69578.828945454545</v>
      </c>
      <c r="I353" s="19" t="s">
        <v>15</v>
      </c>
      <c r="J353" s="3"/>
      <c r="K353" s="17"/>
    </row>
    <row r="354" spans="1:26" ht="15" customHeight="1" x14ac:dyDescent="0.2">
      <c r="A354" s="18" t="s">
        <v>50</v>
      </c>
      <c r="B354" s="24" t="s">
        <v>69</v>
      </c>
      <c r="C354" s="25" t="s">
        <v>143</v>
      </c>
      <c r="D354" s="26">
        <v>8936</v>
      </c>
      <c r="E354" s="18" t="s">
        <v>14</v>
      </c>
      <c r="F354" s="179"/>
      <c r="G354" s="131">
        <f t="shared" si="24"/>
        <v>0</v>
      </c>
      <c r="H354" s="106">
        <f>G354*(1+$G$9)*(1+$G$11)*(1+$G$16)</f>
        <v>0</v>
      </c>
      <c r="I354" s="19" t="s">
        <v>15</v>
      </c>
      <c r="J354" s="3"/>
      <c r="K354" s="17"/>
    </row>
    <row r="355" spans="1:26" ht="15" customHeight="1" x14ac:dyDescent="0.2">
      <c r="A355" s="18" t="s">
        <v>50</v>
      </c>
      <c r="B355" s="24" t="s">
        <v>69</v>
      </c>
      <c r="C355" s="25" t="s">
        <v>144</v>
      </c>
      <c r="D355" s="26">
        <v>9137</v>
      </c>
      <c r="E355" s="18" t="s">
        <v>14</v>
      </c>
      <c r="F355" s="179">
        <v>287.70999999999998</v>
      </c>
      <c r="G355" s="131">
        <f>(F355)*$I$27</f>
        <v>3452.5199999999995</v>
      </c>
      <c r="H355" s="106">
        <f>G355*(1+$G$9)*(1+$G$11)*(1+$G$16)</f>
        <v>3576.4654679999999</v>
      </c>
      <c r="I355" s="19" t="s">
        <v>15</v>
      </c>
      <c r="J355" s="3"/>
      <c r="K355" s="4"/>
      <c r="L355" s="84"/>
      <c r="M355" s="5"/>
      <c r="N355" s="29"/>
      <c r="R355" s="5"/>
      <c r="S355" s="5"/>
      <c r="T355" s="5"/>
      <c r="U355" s="5"/>
      <c r="V355" s="5"/>
      <c r="W355" s="5"/>
      <c r="X355" s="5"/>
      <c r="Y355" s="5"/>
      <c r="Z355" s="30"/>
    </row>
    <row r="356" spans="1:26" ht="15" customHeight="1" x14ac:dyDescent="0.2">
      <c r="A356" s="18"/>
      <c r="B356" s="24"/>
      <c r="C356" s="25"/>
      <c r="D356" s="26"/>
      <c r="E356" s="18"/>
      <c r="F356" s="179"/>
      <c r="G356" s="131"/>
      <c r="H356" s="106">
        <f>SUM(H349:H355)</f>
        <v>383779.71317105455</v>
      </c>
      <c r="I356" s="21">
        <f>SUM(H356:H356)</f>
        <v>383779.71317105455</v>
      </c>
      <c r="J356" s="3"/>
      <c r="K356" s="4"/>
      <c r="L356" s="84"/>
      <c r="M356" s="5"/>
      <c r="N356" s="29"/>
      <c r="R356" s="5"/>
      <c r="S356" s="5"/>
      <c r="T356" s="5"/>
      <c r="U356" s="5"/>
      <c r="V356" s="5"/>
      <c r="W356" s="5"/>
      <c r="X356" s="5"/>
      <c r="Y356" s="5"/>
      <c r="Z356" s="30"/>
    </row>
    <row r="357" spans="1:26" ht="15" customHeight="1" x14ac:dyDescent="0.2">
      <c r="A357" s="18" t="s">
        <v>50</v>
      </c>
      <c r="B357" s="24" t="s">
        <v>69</v>
      </c>
      <c r="C357" s="25" t="s">
        <v>28</v>
      </c>
      <c r="D357" s="26">
        <v>588</v>
      </c>
      <c r="E357" s="18" t="s">
        <v>29</v>
      </c>
      <c r="F357" s="179">
        <v>898.14</v>
      </c>
      <c r="G357" s="131">
        <f>(F357*1.1)*$E$27</f>
        <v>11855.448</v>
      </c>
      <c r="H357" s="106">
        <f>G357*(1+$G$9)*(1+$G$11)*(1+$G$16)</f>
        <v>12281.058583200002</v>
      </c>
      <c r="I357" s="19" t="s">
        <v>15</v>
      </c>
      <c r="J357" s="3"/>
      <c r="K357" s="17"/>
    </row>
    <row r="358" spans="1:26" ht="15" customHeight="1" x14ac:dyDescent="0.2">
      <c r="A358" s="18" t="s">
        <v>50</v>
      </c>
      <c r="B358" s="24" t="s">
        <v>69</v>
      </c>
      <c r="C358" s="18" t="s">
        <v>38</v>
      </c>
      <c r="D358" s="20">
        <v>583</v>
      </c>
      <c r="E358" s="18" t="s">
        <v>19</v>
      </c>
      <c r="F358" s="179"/>
      <c r="G358" s="131">
        <f>(F358)*$G$27</f>
        <v>0</v>
      </c>
      <c r="H358" s="106">
        <f>G358*(1+$G$9)*(1+$G$11)*(1+$G$16)</f>
        <v>0</v>
      </c>
      <c r="I358" s="19" t="s">
        <v>15</v>
      </c>
      <c r="J358" s="3"/>
      <c r="K358" s="17"/>
      <c r="N358" s="35"/>
    </row>
    <row r="359" spans="1:26" ht="15" customHeight="1" x14ac:dyDescent="0.2">
      <c r="A359" s="18" t="s">
        <v>50</v>
      </c>
      <c r="B359" s="24" t="s">
        <v>69</v>
      </c>
      <c r="C359" s="25" t="s">
        <v>30</v>
      </c>
      <c r="D359" s="26">
        <v>620</v>
      </c>
      <c r="E359" s="18" t="s">
        <v>31</v>
      </c>
      <c r="F359" s="179"/>
      <c r="G359" s="131"/>
      <c r="H359" s="106">
        <f>G359*(1+$G$9)*(1+$G$11)*(1+$G$16)</f>
        <v>0</v>
      </c>
      <c r="I359" s="19" t="s">
        <v>15</v>
      </c>
      <c r="J359" s="3"/>
      <c r="K359" s="4"/>
      <c r="L359" s="84"/>
      <c r="M359" s="5"/>
      <c r="N359" s="29"/>
      <c r="R359" s="5"/>
      <c r="S359" s="5"/>
      <c r="T359" s="5"/>
      <c r="U359" s="5"/>
      <c r="V359" s="5"/>
      <c r="W359" s="5"/>
      <c r="X359" s="5"/>
      <c r="Y359" s="5"/>
      <c r="Z359" s="30"/>
    </row>
    <row r="360" spans="1:26" ht="15" customHeight="1" x14ac:dyDescent="0.2">
      <c r="A360" s="111"/>
      <c r="B360" s="112"/>
      <c r="C360" s="111"/>
      <c r="D360" s="119"/>
      <c r="E360" s="111"/>
      <c r="F360" s="180">
        <f>SUM(F348:F359)</f>
        <v>27308.84</v>
      </c>
      <c r="G360" s="123">
        <f>SUM(G348:G359)</f>
        <v>370580.63200000004</v>
      </c>
      <c r="H360" s="123">
        <f>SUM(H356:H359)</f>
        <v>396060.77175425453</v>
      </c>
      <c r="I360" s="19"/>
      <c r="J360" s="241" t="s">
        <v>190</v>
      </c>
      <c r="K360" s="17"/>
    </row>
    <row r="361" spans="1:26" ht="15" customHeight="1" x14ac:dyDescent="0.2">
      <c r="A361" s="18" t="s">
        <v>50</v>
      </c>
      <c r="B361" s="240" t="s">
        <v>187</v>
      </c>
      <c r="C361" s="25" t="s">
        <v>61</v>
      </c>
      <c r="D361" s="26">
        <v>7564</v>
      </c>
      <c r="E361" s="18" t="s">
        <v>43</v>
      </c>
      <c r="F361" s="179"/>
      <c r="G361" s="131">
        <f t="shared" ref="G361:G367" si="25">(F361)*$G$27</f>
        <v>0</v>
      </c>
      <c r="H361" s="106">
        <f>G361*(1+$G$9)*(1+$G$11)*(1+$G$16)</f>
        <v>0</v>
      </c>
      <c r="I361" s="32" t="s">
        <v>57</v>
      </c>
      <c r="J361" s="3"/>
      <c r="K361" s="17"/>
      <c r="L361" s="35"/>
      <c r="M361" s="35"/>
    </row>
    <row r="362" spans="1:26" ht="15" customHeight="1" x14ac:dyDescent="0.2">
      <c r="A362" s="18" t="s">
        <v>50</v>
      </c>
      <c r="B362" s="24" t="s">
        <v>70</v>
      </c>
      <c r="C362" s="25" t="s">
        <v>16</v>
      </c>
      <c r="D362" s="26">
        <v>7566</v>
      </c>
      <c r="E362" s="18" t="s">
        <v>17</v>
      </c>
      <c r="F362" s="179">
        <v>69494.19</v>
      </c>
      <c r="G362" s="131">
        <f t="shared" si="25"/>
        <v>945120.98400000005</v>
      </c>
      <c r="H362" s="106">
        <f>G362*(1+$G$9)*(1+$G$11)*(1+$G$16)</f>
        <v>979050.82732560008</v>
      </c>
      <c r="I362" s="32" t="s">
        <v>57</v>
      </c>
      <c r="J362" s="3"/>
      <c r="K362" s="17"/>
      <c r="L362" s="17"/>
      <c r="M362" s="80"/>
      <c r="N362" s="17"/>
    </row>
    <row r="363" spans="1:26" ht="15" customHeight="1" x14ac:dyDescent="0.2">
      <c r="A363" s="18" t="s">
        <v>50</v>
      </c>
      <c r="B363" s="24" t="s">
        <v>70</v>
      </c>
      <c r="C363" s="25" t="s">
        <v>48</v>
      </c>
      <c r="D363" s="26">
        <v>7568</v>
      </c>
      <c r="E363" s="18" t="s">
        <v>22</v>
      </c>
      <c r="F363" s="179"/>
      <c r="G363" s="131">
        <f t="shared" si="25"/>
        <v>0</v>
      </c>
      <c r="H363" s="106">
        <f>G363*(1+$G$9)*(1+$G$11)*(1+$G$16)</f>
        <v>0</v>
      </c>
      <c r="I363" s="32" t="s">
        <v>57</v>
      </c>
      <c r="J363" s="3"/>
      <c r="K363" s="17"/>
    </row>
    <row r="364" spans="1:26" ht="15" customHeight="1" x14ac:dyDescent="0.2">
      <c r="A364" s="18" t="s">
        <v>50</v>
      </c>
      <c r="B364" s="24" t="s">
        <v>70</v>
      </c>
      <c r="C364" s="25" t="s">
        <v>35</v>
      </c>
      <c r="D364" s="26">
        <v>7569</v>
      </c>
      <c r="E364" s="18" t="s">
        <v>26</v>
      </c>
      <c r="F364" s="179"/>
      <c r="G364" s="131">
        <f t="shared" si="25"/>
        <v>0</v>
      </c>
      <c r="H364" s="106">
        <f>G364*(1+$G$9)*(1+$G$11)*(1+$G$16)</f>
        <v>0</v>
      </c>
      <c r="I364" s="32" t="s">
        <v>57</v>
      </c>
      <c r="J364" s="3"/>
      <c r="K364" s="17"/>
    </row>
    <row r="365" spans="1:26" ht="15" customHeight="1" x14ac:dyDescent="0.2">
      <c r="A365" s="18" t="s">
        <v>50</v>
      </c>
      <c r="B365" s="24" t="s">
        <v>70</v>
      </c>
      <c r="C365" s="18" t="s">
        <v>172</v>
      </c>
      <c r="D365" s="26">
        <v>7570</v>
      </c>
      <c r="E365" s="18" t="s">
        <v>19</v>
      </c>
      <c r="F365" s="179">
        <f>100056.39/4-F366</f>
        <v>9436.36</v>
      </c>
      <c r="G365" s="131">
        <f t="shared" si="25"/>
        <v>128334.496</v>
      </c>
      <c r="H365" s="106">
        <f>G365*(1+$G$9)*(1+$G$11)*(1+$G$16)</f>
        <v>132941.70440640001</v>
      </c>
      <c r="I365" s="32" t="s">
        <v>57</v>
      </c>
      <c r="J365" s="3"/>
      <c r="K365" s="17"/>
    </row>
    <row r="366" spans="1:26" ht="15" customHeight="1" x14ac:dyDescent="0.2">
      <c r="A366" s="18" t="s">
        <v>50</v>
      </c>
      <c r="B366" s="24" t="s">
        <v>70</v>
      </c>
      <c r="C366" s="18" t="s">
        <v>173</v>
      </c>
      <c r="D366" s="26">
        <v>7570</v>
      </c>
      <c r="E366" s="18" t="s">
        <v>174</v>
      </c>
      <c r="F366" s="179">
        <f>62310.95/4</f>
        <v>15577.737499999999</v>
      </c>
      <c r="G366" s="131">
        <f t="shared" si="25"/>
        <v>211857.22999999998</v>
      </c>
      <c r="H366" s="106">
        <f>(G366/G$26*H$26)*(1+$G$9)*(1+$G$11)*(1+$G$16)</f>
        <v>266015.64188727271</v>
      </c>
      <c r="I366" s="32" t="s">
        <v>57</v>
      </c>
      <c r="J366" s="3"/>
      <c r="K366" s="17"/>
    </row>
    <row r="367" spans="1:26" ht="15" customHeight="1" x14ac:dyDescent="0.2">
      <c r="A367" s="18" t="s">
        <v>50</v>
      </c>
      <c r="B367" s="24" t="s">
        <v>70</v>
      </c>
      <c r="C367" s="25" t="s">
        <v>143</v>
      </c>
      <c r="D367" s="26">
        <v>8937</v>
      </c>
      <c r="E367" s="18" t="s">
        <v>14</v>
      </c>
      <c r="F367" s="179"/>
      <c r="G367" s="131">
        <f t="shared" si="25"/>
        <v>0</v>
      </c>
      <c r="H367" s="106">
        <f>G367*(1+$G$9)*(1+$G$11)*(1+$G$16)</f>
        <v>0</v>
      </c>
      <c r="I367" s="32" t="s">
        <v>57</v>
      </c>
      <c r="J367" s="3"/>
      <c r="K367" s="17"/>
    </row>
    <row r="368" spans="1:26" ht="15" customHeight="1" x14ac:dyDescent="0.2">
      <c r="A368" s="18" t="s">
        <v>50</v>
      </c>
      <c r="B368" s="24" t="s">
        <v>70</v>
      </c>
      <c r="C368" s="25" t="s">
        <v>144</v>
      </c>
      <c r="D368" s="26">
        <v>9138</v>
      </c>
      <c r="E368" s="18" t="s">
        <v>14</v>
      </c>
      <c r="F368" s="179">
        <v>1262.94</v>
      </c>
      <c r="G368" s="131">
        <f>(F368)*$I$27</f>
        <v>15155.28</v>
      </c>
      <c r="H368" s="106">
        <f>G368*(1+$G$9)*(1+$G$11)*(1+$G$16)</f>
        <v>15699.354552000001</v>
      </c>
      <c r="I368" s="32" t="s">
        <v>57</v>
      </c>
      <c r="J368" s="3"/>
      <c r="K368" s="4"/>
      <c r="L368" s="84"/>
      <c r="M368" s="5"/>
      <c r="N368" s="29"/>
      <c r="R368" s="5"/>
      <c r="S368" s="5"/>
      <c r="T368" s="5"/>
      <c r="U368" s="5"/>
      <c r="V368" s="5"/>
      <c r="W368" s="5"/>
      <c r="X368" s="5"/>
      <c r="Y368" s="5"/>
      <c r="Z368" s="30"/>
    </row>
    <row r="369" spans="1:26" ht="15" customHeight="1" x14ac:dyDescent="0.2">
      <c r="A369" s="18"/>
      <c r="B369" s="24"/>
      <c r="C369" s="25"/>
      <c r="D369" s="26"/>
      <c r="E369" s="18"/>
      <c r="F369" s="179"/>
      <c r="G369" s="131"/>
      <c r="H369" s="106">
        <f>SUM(H361:H368)</f>
        <v>1393707.5281712729</v>
      </c>
      <c r="I369" s="32"/>
      <c r="J369" s="3"/>
      <c r="K369" s="4"/>
      <c r="L369" s="84"/>
      <c r="M369" s="5"/>
      <c r="N369" s="29"/>
      <c r="R369" s="5"/>
      <c r="S369" s="5"/>
      <c r="T369" s="5"/>
      <c r="U369" s="5"/>
      <c r="V369" s="5"/>
      <c r="W369" s="5"/>
      <c r="X369" s="5"/>
      <c r="Y369" s="5"/>
      <c r="Z369" s="30"/>
    </row>
    <row r="370" spans="1:26" ht="15" customHeight="1" x14ac:dyDescent="0.2">
      <c r="A370" s="18" t="s">
        <v>50</v>
      </c>
      <c r="B370" s="24" t="s">
        <v>70</v>
      </c>
      <c r="C370" s="25" t="s">
        <v>28</v>
      </c>
      <c r="D370" s="26">
        <v>7571</v>
      </c>
      <c r="E370" s="18" t="s">
        <v>29</v>
      </c>
      <c r="F370" s="179">
        <v>4490.7</v>
      </c>
      <c r="G370" s="131">
        <f>(F370*1.1)*$E$27</f>
        <v>59277.240000000005</v>
      </c>
      <c r="H370" s="106">
        <f>G370*(1+$G$9)*(1+$G$11)*(1+$G$16)</f>
        <v>61405.292916000006</v>
      </c>
      <c r="I370" s="32" t="s">
        <v>57</v>
      </c>
      <c r="J370" s="3"/>
      <c r="K370" s="17"/>
    </row>
    <row r="371" spans="1:26" ht="15" customHeight="1" x14ac:dyDescent="0.2">
      <c r="A371" s="18" t="s">
        <v>50</v>
      </c>
      <c r="B371" s="24" t="s">
        <v>70</v>
      </c>
      <c r="C371" s="18" t="s">
        <v>38</v>
      </c>
      <c r="D371" s="26">
        <v>7567</v>
      </c>
      <c r="E371" s="18" t="s">
        <v>19</v>
      </c>
      <c r="F371" s="179">
        <v>2066.35</v>
      </c>
      <c r="G371" s="131">
        <f>(F371)*$G$27</f>
        <v>28102.359999999997</v>
      </c>
      <c r="H371" s="106">
        <f>G371*(1+$G$9)*(1+$G$11)*(1+$G$16)</f>
        <v>29111.234723999998</v>
      </c>
      <c r="I371" s="32" t="s">
        <v>57</v>
      </c>
      <c r="J371" s="3"/>
      <c r="K371" s="17"/>
    </row>
    <row r="372" spans="1:26" ht="15" customHeight="1" x14ac:dyDescent="0.2">
      <c r="A372" s="18" t="s">
        <v>50</v>
      </c>
      <c r="B372" s="24" t="s">
        <v>70</v>
      </c>
      <c r="C372" s="25" t="s">
        <v>30</v>
      </c>
      <c r="D372" s="26">
        <v>7572</v>
      </c>
      <c r="E372" s="18" t="s">
        <v>31</v>
      </c>
      <c r="F372" s="179"/>
      <c r="G372" s="131"/>
      <c r="H372" s="106">
        <f>G372*(1+$G$9)*(1+$G$11)*(1+$G$16)</f>
        <v>0</v>
      </c>
      <c r="I372" s="32" t="s">
        <v>57</v>
      </c>
      <c r="J372" s="3"/>
      <c r="K372" s="4"/>
      <c r="L372" s="84"/>
      <c r="M372" s="5"/>
      <c r="N372" s="29"/>
      <c r="R372" s="5"/>
      <c r="S372" s="5"/>
      <c r="T372" s="5"/>
      <c r="U372" s="5"/>
      <c r="V372" s="5"/>
      <c r="W372" s="5"/>
      <c r="X372" s="5"/>
      <c r="Y372" s="5"/>
      <c r="Z372" s="30"/>
    </row>
    <row r="373" spans="1:26" ht="15" customHeight="1" x14ac:dyDescent="0.2">
      <c r="A373" s="111"/>
      <c r="B373" s="112"/>
      <c r="C373" s="111"/>
      <c r="D373" s="119"/>
      <c r="E373" s="111"/>
      <c r="F373" s="180">
        <f>SUM(F361:F372)</f>
        <v>102328.27750000001</v>
      </c>
      <c r="G373" s="123">
        <f>SUM(G361:G372)</f>
        <v>1387847.59</v>
      </c>
      <c r="H373" s="123">
        <f>SUM(H369:H372)</f>
        <v>1484224.0558112729</v>
      </c>
      <c r="I373" s="19"/>
      <c r="J373" s="3"/>
      <c r="K373" s="17"/>
    </row>
    <row r="374" spans="1:26" ht="15" customHeight="1" x14ac:dyDescent="0.2">
      <c r="A374" s="18"/>
      <c r="B374" s="24"/>
      <c r="C374" s="25"/>
      <c r="D374" s="26"/>
      <c r="E374" s="18"/>
      <c r="F374" s="184"/>
      <c r="G374" s="132"/>
      <c r="H374" s="106">
        <f t="shared" ref="H374:H384" si="26">G374*(1+$G$9)*(1+$G$11)*(1+$G$16)</f>
        <v>0</v>
      </c>
      <c r="I374" s="19"/>
      <c r="J374" s="3"/>
      <c r="K374" s="17"/>
      <c r="L374" s="35"/>
    </row>
    <row r="375" spans="1:26" ht="15" customHeight="1" x14ac:dyDescent="0.2">
      <c r="A375" s="18" t="s">
        <v>50</v>
      </c>
      <c r="B375" s="240" t="s">
        <v>188</v>
      </c>
      <c r="C375" s="25" t="s">
        <v>61</v>
      </c>
      <c r="D375" s="26">
        <v>7602</v>
      </c>
      <c r="E375" s="18" t="s">
        <v>43</v>
      </c>
      <c r="F375" s="179"/>
      <c r="G375" s="131">
        <f t="shared" ref="G375:G380" si="27">(F375)*$G$27</f>
        <v>0</v>
      </c>
      <c r="H375" s="106">
        <f t="shared" si="26"/>
        <v>0</v>
      </c>
      <c r="I375" s="32" t="s">
        <v>56</v>
      </c>
      <c r="J375" s="3"/>
      <c r="K375" s="17"/>
    </row>
    <row r="376" spans="1:26" ht="15" customHeight="1" x14ac:dyDescent="0.2">
      <c r="A376" s="18" t="s">
        <v>50</v>
      </c>
      <c r="B376" s="24" t="s">
        <v>71</v>
      </c>
      <c r="C376" s="25" t="s">
        <v>16</v>
      </c>
      <c r="D376" s="26">
        <v>7604</v>
      </c>
      <c r="E376" s="18" t="s">
        <v>17</v>
      </c>
      <c r="F376" s="179"/>
      <c r="G376" s="131">
        <f t="shared" si="27"/>
        <v>0</v>
      </c>
      <c r="H376" s="106">
        <f t="shared" si="26"/>
        <v>0</v>
      </c>
      <c r="I376" s="32" t="s">
        <v>56</v>
      </c>
      <c r="J376" s="3"/>
      <c r="K376" s="17"/>
    </row>
    <row r="377" spans="1:26" ht="15" customHeight="1" x14ac:dyDescent="0.2">
      <c r="A377" s="18" t="s">
        <v>50</v>
      </c>
      <c r="B377" s="24" t="s">
        <v>71</v>
      </c>
      <c r="C377" s="25" t="s">
        <v>48</v>
      </c>
      <c r="D377" s="26">
        <v>7605</v>
      </c>
      <c r="E377" s="18" t="s">
        <v>22</v>
      </c>
      <c r="F377" s="179"/>
      <c r="G377" s="131">
        <f t="shared" si="27"/>
        <v>0</v>
      </c>
      <c r="H377" s="106">
        <f t="shared" si="26"/>
        <v>0</v>
      </c>
      <c r="I377" s="32" t="s">
        <v>56</v>
      </c>
      <c r="J377" s="3"/>
      <c r="K377" s="17"/>
    </row>
    <row r="378" spans="1:26" ht="15" customHeight="1" x14ac:dyDescent="0.2">
      <c r="A378" s="18" t="s">
        <v>50</v>
      </c>
      <c r="B378" s="24" t="s">
        <v>71</v>
      </c>
      <c r="C378" s="25" t="s">
        <v>35</v>
      </c>
      <c r="D378" s="26">
        <v>7606</v>
      </c>
      <c r="E378" s="18" t="s">
        <v>26</v>
      </c>
      <c r="F378" s="179"/>
      <c r="G378" s="131">
        <f t="shared" si="27"/>
        <v>0</v>
      </c>
      <c r="H378" s="106">
        <f t="shared" si="26"/>
        <v>0</v>
      </c>
      <c r="I378" s="32" t="s">
        <v>56</v>
      </c>
      <c r="J378" s="3"/>
      <c r="K378" s="17"/>
    </row>
    <row r="379" spans="1:26" ht="15" customHeight="1" x14ac:dyDescent="0.2">
      <c r="A379" s="18" t="s">
        <v>50</v>
      </c>
      <c r="B379" s="24" t="s">
        <v>71</v>
      </c>
      <c r="C379" s="18" t="s">
        <v>27</v>
      </c>
      <c r="D379" s="26">
        <v>7607</v>
      </c>
      <c r="E379" s="18" t="s">
        <v>19</v>
      </c>
      <c r="F379" s="179"/>
      <c r="G379" s="131">
        <f t="shared" si="27"/>
        <v>0</v>
      </c>
      <c r="H379" s="106">
        <f t="shared" si="26"/>
        <v>0</v>
      </c>
      <c r="I379" s="32" t="s">
        <v>56</v>
      </c>
      <c r="J379" s="3"/>
      <c r="K379" s="17"/>
    </row>
    <row r="380" spans="1:26" ht="15" customHeight="1" x14ac:dyDescent="0.2">
      <c r="A380" s="18" t="s">
        <v>50</v>
      </c>
      <c r="B380" s="24" t="s">
        <v>71</v>
      </c>
      <c r="C380" s="25" t="s">
        <v>143</v>
      </c>
      <c r="D380" s="26">
        <v>8938</v>
      </c>
      <c r="E380" s="18" t="s">
        <v>14</v>
      </c>
      <c r="F380" s="179"/>
      <c r="G380" s="131">
        <f t="shared" si="27"/>
        <v>0</v>
      </c>
      <c r="H380" s="106">
        <f t="shared" si="26"/>
        <v>0</v>
      </c>
      <c r="I380" s="32" t="s">
        <v>56</v>
      </c>
      <c r="J380" s="3"/>
      <c r="K380" s="17"/>
    </row>
    <row r="381" spans="1:26" ht="15" customHeight="1" x14ac:dyDescent="0.2">
      <c r="A381" s="18" t="s">
        <v>50</v>
      </c>
      <c r="B381" s="24" t="s">
        <v>71</v>
      </c>
      <c r="C381" s="25" t="s">
        <v>144</v>
      </c>
      <c r="D381" s="26">
        <v>9139</v>
      </c>
      <c r="E381" s="18" t="s">
        <v>14</v>
      </c>
      <c r="F381" s="179"/>
      <c r="G381" s="131">
        <f>(F381)*$I$27</f>
        <v>0</v>
      </c>
      <c r="H381" s="106">
        <f t="shared" si="26"/>
        <v>0</v>
      </c>
      <c r="I381" s="32" t="s">
        <v>56</v>
      </c>
      <c r="J381" s="3"/>
      <c r="K381" s="4"/>
      <c r="L381" s="84"/>
      <c r="M381" s="5"/>
      <c r="N381" s="29"/>
      <c r="R381" s="5"/>
      <c r="S381" s="5"/>
      <c r="T381" s="5"/>
      <c r="U381" s="5"/>
      <c r="V381" s="5"/>
      <c r="W381" s="5"/>
      <c r="X381" s="5"/>
      <c r="Y381" s="5"/>
      <c r="Z381" s="30"/>
    </row>
    <row r="382" spans="1:26" ht="15" customHeight="1" x14ac:dyDescent="0.2">
      <c r="A382" s="18" t="s">
        <v>50</v>
      </c>
      <c r="B382" s="24" t="s">
        <v>71</v>
      </c>
      <c r="C382" s="25" t="s">
        <v>28</v>
      </c>
      <c r="D382" s="26">
        <v>7610</v>
      </c>
      <c r="E382" s="18" t="s">
        <v>29</v>
      </c>
      <c r="F382" s="179"/>
      <c r="G382" s="131">
        <f>(F382*1.1)*$E$27</f>
        <v>0</v>
      </c>
      <c r="H382" s="106">
        <f t="shared" si="26"/>
        <v>0</v>
      </c>
      <c r="I382" s="32" t="s">
        <v>56</v>
      </c>
      <c r="J382" s="3"/>
      <c r="K382" s="17"/>
    </row>
    <row r="383" spans="1:26" ht="15" customHeight="1" x14ac:dyDescent="0.2">
      <c r="A383" s="18" t="s">
        <v>50</v>
      </c>
      <c r="B383" s="24" t="s">
        <v>71</v>
      </c>
      <c r="C383" s="18" t="s">
        <v>38</v>
      </c>
      <c r="D383" s="26">
        <v>7609</v>
      </c>
      <c r="E383" s="18" t="s">
        <v>19</v>
      </c>
      <c r="F383" s="179"/>
      <c r="G383" s="131">
        <f>(F383)*$G$27</f>
        <v>0</v>
      </c>
      <c r="H383" s="106">
        <f t="shared" si="26"/>
        <v>0</v>
      </c>
      <c r="I383" s="32" t="s">
        <v>56</v>
      </c>
      <c r="J383" s="3"/>
      <c r="K383" s="17"/>
      <c r="N383" s="35"/>
    </row>
    <row r="384" spans="1:26" ht="15" customHeight="1" x14ac:dyDescent="0.2">
      <c r="A384" s="18" t="s">
        <v>50</v>
      </c>
      <c r="B384" s="24" t="s">
        <v>71</v>
      </c>
      <c r="C384" s="25" t="s">
        <v>30</v>
      </c>
      <c r="D384" s="26">
        <v>7608</v>
      </c>
      <c r="E384" s="18" t="s">
        <v>31</v>
      </c>
      <c r="F384" s="179"/>
      <c r="G384" s="131"/>
      <c r="H384" s="106">
        <f t="shared" si="26"/>
        <v>0</v>
      </c>
      <c r="I384" s="32" t="s">
        <v>56</v>
      </c>
      <c r="J384" s="3"/>
      <c r="K384" s="4"/>
      <c r="L384" s="84"/>
      <c r="M384" s="5"/>
      <c r="N384" s="29"/>
      <c r="R384" s="5"/>
      <c r="S384" s="5"/>
      <c r="T384" s="5"/>
      <c r="U384" s="5"/>
      <c r="V384" s="5"/>
      <c r="W384" s="5"/>
      <c r="X384" s="5"/>
      <c r="Y384" s="5"/>
      <c r="Z384" s="30"/>
    </row>
    <row r="385" spans="1:26" ht="15" customHeight="1" x14ac:dyDescent="0.2">
      <c r="A385" s="111"/>
      <c r="B385" s="112"/>
      <c r="C385" s="111"/>
      <c r="D385" s="119"/>
      <c r="E385" s="111"/>
      <c r="F385" s="180">
        <f t="shared" ref="F385:H385" si="28">SUM(F375:F384)</f>
        <v>0</v>
      </c>
      <c r="G385" s="123">
        <f t="shared" si="28"/>
        <v>0</v>
      </c>
      <c r="H385" s="123">
        <f t="shared" si="28"/>
        <v>0</v>
      </c>
      <c r="I385" s="19"/>
      <c r="J385" s="3"/>
      <c r="K385" s="17"/>
    </row>
    <row r="386" spans="1:26" ht="15" customHeight="1" x14ac:dyDescent="0.2">
      <c r="A386" s="18"/>
      <c r="B386" s="24"/>
      <c r="C386" s="25"/>
      <c r="D386" s="26"/>
      <c r="E386" s="18"/>
      <c r="F386" s="184"/>
      <c r="G386" s="132"/>
      <c r="H386" s="106">
        <f t="shared" ref="H386:H397" si="29">G386*(1+$G$9)*(1+$G$11)*(1+$G$16)</f>
        <v>0</v>
      </c>
      <c r="I386" s="19"/>
      <c r="J386" s="3"/>
      <c r="K386" s="17"/>
      <c r="L386" s="35"/>
      <c r="M386" s="35"/>
    </row>
    <row r="387" spans="1:26" ht="15" customHeight="1" x14ac:dyDescent="0.2">
      <c r="A387" s="18" t="s">
        <v>50</v>
      </c>
      <c r="B387" s="24" t="s">
        <v>72</v>
      </c>
      <c r="C387" s="25" t="s">
        <v>61</v>
      </c>
      <c r="D387" s="26">
        <v>1058</v>
      </c>
      <c r="E387" s="18" t="s">
        <v>43</v>
      </c>
      <c r="F387" s="179"/>
      <c r="G387" s="131">
        <f t="shared" ref="G387:G393" si="30">(F387)*$G$27</f>
        <v>0</v>
      </c>
      <c r="H387" s="106">
        <f t="shared" si="29"/>
        <v>0</v>
      </c>
      <c r="I387" s="19" t="s">
        <v>57</v>
      </c>
      <c r="J387" s="3"/>
      <c r="K387" s="17"/>
    </row>
    <row r="388" spans="1:26" ht="15" customHeight="1" x14ac:dyDescent="0.2">
      <c r="A388" s="18" t="s">
        <v>50</v>
      </c>
      <c r="B388" s="24" t="s">
        <v>72</v>
      </c>
      <c r="C388" s="25" t="s">
        <v>16</v>
      </c>
      <c r="D388" s="26">
        <v>1060</v>
      </c>
      <c r="E388" s="18" t="s">
        <v>17</v>
      </c>
      <c r="F388" s="179"/>
      <c r="G388" s="131">
        <f t="shared" si="30"/>
        <v>0</v>
      </c>
      <c r="H388" s="106">
        <f t="shared" si="29"/>
        <v>0</v>
      </c>
      <c r="I388" s="19" t="s">
        <v>15</v>
      </c>
      <c r="J388" s="3"/>
      <c r="K388" s="17"/>
    </row>
    <row r="389" spans="1:26" ht="15" customHeight="1" x14ac:dyDescent="0.2">
      <c r="A389" s="18" t="s">
        <v>50</v>
      </c>
      <c r="B389" s="24" t="s">
        <v>72</v>
      </c>
      <c r="C389" s="25" t="s">
        <v>16</v>
      </c>
      <c r="D389" s="26">
        <v>1061</v>
      </c>
      <c r="E389" s="18" t="s">
        <v>17</v>
      </c>
      <c r="F389" s="179"/>
      <c r="G389" s="131">
        <f t="shared" si="30"/>
        <v>0</v>
      </c>
      <c r="H389" s="106">
        <f t="shared" si="29"/>
        <v>0</v>
      </c>
      <c r="I389" s="19" t="s">
        <v>57</v>
      </c>
      <c r="J389" s="3"/>
      <c r="K389" s="17"/>
    </row>
    <row r="390" spans="1:26" ht="15" customHeight="1" x14ac:dyDescent="0.2">
      <c r="A390" s="18" t="s">
        <v>50</v>
      </c>
      <c r="B390" s="24" t="s">
        <v>72</v>
      </c>
      <c r="C390" s="18" t="s">
        <v>18</v>
      </c>
      <c r="D390" s="20">
        <v>1056</v>
      </c>
      <c r="E390" s="18" t="s">
        <v>19</v>
      </c>
      <c r="F390" s="179"/>
      <c r="G390" s="131">
        <f t="shared" si="30"/>
        <v>0</v>
      </c>
      <c r="H390" s="106">
        <f t="shared" si="29"/>
        <v>0</v>
      </c>
      <c r="I390" s="19" t="s">
        <v>57</v>
      </c>
      <c r="J390" s="3"/>
      <c r="K390" s="17"/>
    </row>
    <row r="391" spans="1:26" ht="15" customHeight="1" x14ac:dyDescent="0.2">
      <c r="A391" s="18" t="s">
        <v>50</v>
      </c>
      <c r="B391" s="24" t="s">
        <v>72</v>
      </c>
      <c r="C391" s="25" t="s">
        <v>48</v>
      </c>
      <c r="D391" s="26">
        <v>1062</v>
      </c>
      <c r="E391" s="18" t="s">
        <v>22</v>
      </c>
      <c r="F391" s="179"/>
      <c r="G391" s="131">
        <f t="shared" si="30"/>
        <v>0</v>
      </c>
      <c r="H391" s="106">
        <f t="shared" si="29"/>
        <v>0</v>
      </c>
      <c r="I391" s="19" t="s">
        <v>57</v>
      </c>
      <c r="J391" s="3"/>
      <c r="K391" s="17"/>
    </row>
    <row r="392" spans="1:26" ht="15" customHeight="1" x14ac:dyDescent="0.2">
      <c r="A392" s="18" t="s">
        <v>50</v>
      </c>
      <c r="B392" s="24" t="s">
        <v>72</v>
      </c>
      <c r="C392" s="25" t="s">
        <v>35</v>
      </c>
      <c r="D392" s="26">
        <v>1063</v>
      </c>
      <c r="E392" s="18" t="s">
        <v>26</v>
      </c>
      <c r="F392" s="179"/>
      <c r="G392" s="131">
        <f t="shared" si="30"/>
        <v>0</v>
      </c>
      <c r="H392" s="106">
        <f t="shared" si="29"/>
        <v>0</v>
      </c>
      <c r="I392" s="19" t="s">
        <v>57</v>
      </c>
      <c r="J392" s="3"/>
      <c r="K392" s="17"/>
    </row>
    <row r="393" spans="1:26" ht="15" customHeight="1" x14ac:dyDescent="0.2">
      <c r="A393" s="18" t="s">
        <v>50</v>
      </c>
      <c r="B393" s="24" t="s">
        <v>72</v>
      </c>
      <c r="C393" s="18" t="s">
        <v>27</v>
      </c>
      <c r="D393" s="20">
        <v>1064</v>
      </c>
      <c r="E393" s="18" t="s">
        <v>19</v>
      </c>
      <c r="F393" s="179"/>
      <c r="G393" s="131">
        <f t="shared" si="30"/>
        <v>0</v>
      </c>
      <c r="H393" s="106">
        <f t="shared" si="29"/>
        <v>0</v>
      </c>
      <c r="I393" s="19" t="s">
        <v>57</v>
      </c>
      <c r="J393" s="3"/>
      <c r="K393" s="17"/>
    </row>
    <row r="394" spans="1:26" ht="15" customHeight="1" x14ac:dyDescent="0.2">
      <c r="A394" s="18" t="s">
        <v>50</v>
      </c>
      <c r="B394" s="24" t="s">
        <v>72</v>
      </c>
      <c r="C394" s="25" t="s">
        <v>28</v>
      </c>
      <c r="D394" s="26">
        <v>1057</v>
      </c>
      <c r="E394" s="18" t="s">
        <v>29</v>
      </c>
      <c r="F394" s="179"/>
      <c r="G394" s="131">
        <f>(F394*1.1)*$E$27</f>
        <v>0</v>
      </c>
      <c r="H394" s="106">
        <f t="shared" si="29"/>
        <v>0</v>
      </c>
      <c r="I394" s="19" t="s">
        <v>57</v>
      </c>
      <c r="J394" s="3"/>
      <c r="K394" s="17"/>
    </row>
    <row r="395" spans="1:26" ht="15" customHeight="1" x14ac:dyDescent="0.2">
      <c r="A395" s="18" t="s">
        <v>50</v>
      </c>
      <c r="B395" s="24" t="s">
        <v>72</v>
      </c>
      <c r="C395" s="25" t="s">
        <v>143</v>
      </c>
      <c r="D395" s="26">
        <v>8939</v>
      </c>
      <c r="E395" s="18" t="s">
        <v>14</v>
      </c>
      <c r="F395" s="179"/>
      <c r="G395" s="131">
        <f>(F395)*$G$27</f>
        <v>0</v>
      </c>
      <c r="H395" s="106">
        <f t="shared" si="29"/>
        <v>0</v>
      </c>
      <c r="I395" s="19" t="s">
        <v>57</v>
      </c>
      <c r="J395" s="3"/>
      <c r="K395" s="17"/>
    </row>
    <row r="396" spans="1:26" ht="15" customHeight="1" x14ac:dyDescent="0.2">
      <c r="A396" s="18" t="s">
        <v>50</v>
      </c>
      <c r="B396" s="24" t="s">
        <v>72</v>
      </c>
      <c r="C396" s="25" t="s">
        <v>144</v>
      </c>
      <c r="D396" s="26">
        <v>9140</v>
      </c>
      <c r="E396" s="18" t="s">
        <v>14</v>
      </c>
      <c r="F396" s="179"/>
      <c r="G396" s="131">
        <f>(F396)*$I$27</f>
        <v>0</v>
      </c>
      <c r="H396" s="106">
        <f t="shared" si="29"/>
        <v>0</v>
      </c>
      <c r="I396" s="19" t="s">
        <v>57</v>
      </c>
      <c r="J396" s="3"/>
      <c r="K396" s="4"/>
      <c r="L396" s="84"/>
      <c r="M396" s="5"/>
      <c r="N396" s="29"/>
      <c r="R396" s="5"/>
      <c r="S396" s="5"/>
      <c r="T396" s="5"/>
      <c r="U396" s="5"/>
      <c r="V396" s="5"/>
      <c r="W396" s="5"/>
      <c r="X396" s="5"/>
      <c r="Y396" s="5"/>
      <c r="Z396" s="30"/>
    </row>
    <row r="397" spans="1:26" ht="15" customHeight="1" x14ac:dyDescent="0.2">
      <c r="A397" s="18" t="s">
        <v>50</v>
      </c>
      <c r="B397" s="24" t="s">
        <v>72</v>
      </c>
      <c r="C397" s="25" t="s">
        <v>30</v>
      </c>
      <c r="D397" s="26">
        <v>1065</v>
      </c>
      <c r="E397" s="18" t="s">
        <v>31</v>
      </c>
      <c r="F397" s="179"/>
      <c r="G397" s="131"/>
      <c r="H397" s="106">
        <f t="shared" si="29"/>
        <v>0</v>
      </c>
      <c r="I397" s="19" t="s">
        <v>57</v>
      </c>
      <c r="J397" s="3"/>
      <c r="K397" s="4"/>
      <c r="L397" s="84"/>
      <c r="M397" s="5"/>
      <c r="N397" s="29"/>
      <c r="R397" s="5"/>
      <c r="S397" s="5"/>
      <c r="T397" s="5"/>
      <c r="U397" s="5"/>
      <c r="V397" s="5"/>
      <c r="W397" s="5"/>
      <c r="X397" s="5"/>
      <c r="Y397" s="5"/>
      <c r="Z397" s="30"/>
    </row>
    <row r="398" spans="1:26" ht="15" customHeight="1" x14ac:dyDescent="0.2">
      <c r="A398" s="111"/>
      <c r="B398" s="112"/>
      <c r="C398" s="113"/>
      <c r="D398" s="114"/>
      <c r="E398" s="111"/>
      <c r="F398" s="180">
        <f>SUM(F387:F397)</f>
        <v>0</v>
      </c>
      <c r="G398" s="123">
        <f>SUM(G387:G397)</f>
        <v>0</v>
      </c>
      <c r="H398" s="123">
        <f t="shared" ref="H398" si="31">SUM(H387:H397)</f>
        <v>0</v>
      </c>
      <c r="I398" s="19"/>
      <c r="J398" s="3"/>
      <c r="K398" s="17"/>
    </row>
    <row r="399" spans="1:26" ht="15" customHeight="1" x14ac:dyDescent="0.2">
      <c r="A399" s="18" t="s">
        <v>50</v>
      </c>
      <c r="B399" s="24" t="s">
        <v>72</v>
      </c>
      <c r="C399" s="25" t="s">
        <v>61</v>
      </c>
      <c r="D399" s="36">
        <v>7509</v>
      </c>
      <c r="E399" s="18" t="s">
        <v>43</v>
      </c>
      <c r="F399" s="179"/>
      <c r="G399" s="131">
        <f t="shared" ref="G399:G405" si="32">(F399)*$G$27</f>
        <v>0</v>
      </c>
      <c r="H399" s="106">
        <f>G399*(1+$G$9)*(1+$G$11)*(1+$G$16)</f>
        <v>0</v>
      </c>
      <c r="I399" s="19" t="s">
        <v>53</v>
      </c>
      <c r="J399" s="3"/>
      <c r="K399" s="17"/>
    </row>
    <row r="400" spans="1:26" ht="15" customHeight="1" x14ac:dyDescent="0.2">
      <c r="A400" s="18" t="s">
        <v>50</v>
      </c>
      <c r="B400" s="24" t="s">
        <v>72</v>
      </c>
      <c r="C400" s="25" t="s">
        <v>16</v>
      </c>
      <c r="D400" s="36">
        <v>7512</v>
      </c>
      <c r="E400" s="18" t="s">
        <v>17</v>
      </c>
      <c r="F400" s="179">
        <v>81061.990000000005</v>
      </c>
      <c r="G400" s="131">
        <f t="shared" si="32"/>
        <v>1102443.064</v>
      </c>
      <c r="H400" s="106">
        <f>G400*(1+$G$9)*(1+$G$11)*(1+$G$16)</f>
        <v>1142020.7699976</v>
      </c>
      <c r="I400" s="19" t="s">
        <v>53</v>
      </c>
      <c r="J400" s="3"/>
      <c r="K400" s="17"/>
    </row>
    <row r="401" spans="1:26" ht="15" customHeight="1" x14ac:dyDescent="0.2">
      <c r="A401" s="18" t="s">
        <v>50</v>
      </c>
      <c r="B401" s="24" t="s">
        <v>72</v>
      </c>
      <c r="C401" s="25" t="s">
        <v>48</v>
      </c>
      <c r="D401" s="37">
        <v>7573</v>
      </c>
      <c r="E401" s="18" t="s">
        <v>22</v>
      </c>
      <c r="F401" s="179"/>
      <c r="G401" s="131">
        <f t="shared" si="32"/>
        <v>0</v>
      </c>
      <c r="H401" s="106">
        <f>G401*(1+$G$9)*(1+$G$11)*(1+$G$16)</f>
        <v>0</v>
      </c>
      <c r="I401" s="19" t="s">
        <v>53</v>
      </c>
      <c r="J401" s="3"/>
      <c r="K401" s="17"/>
    </row>
    <row r="402" spans="1:26" ht="15" customHeight="1" x14ac:dyDescent="0.2">
      <c r="A402" s="18" t="s">
        <v>50</v>
      </c>
      <c r="B402" s="24" t="s">
        <v>72</v>
      </c>
      <c r="C402" s="25" t="s">
        <v>35</v>
      </c>
      <c r="D402" s="36">
        <v>7574</v>
      </c>
      <c r="E402" s="18" t="s">
        <v>26</v>
      </c>
      <c r="F402" s="179"/>
      <c r="G402" s="131">
        <f t="shared" si="32"/>
        <v>0</v>
      </c>
      <c r="H402" s="106">
        <f>G402*(1+$G$9)*(1+$G$11)*(1+$G$16)</f>
        <v>0</v>
      </c>
      <c r="I402" s="19" t="s">
        <v>53</v>
      </c>
      <c r="J402" s="3"/>
      <c r="K402" s="17"/>
    </row>
    <row r="403" spans="1:26" ht="15" customHeight="1" x14ac:dyDescent="0.2">
      <c r="A403" s="18" t="s">
        <v>50</v>
      </c>
      <c r="B403" s="24" t="s">
        <v>72</v>
      </c>
      <c r="C403" s="18" t="s">
        <v>172</v>
      </c>
      <c r="D403" s="37">
        <v>7513</v>
      </c>
      <c r="E403" s="18" t="s">
        <v>19</v>
      </c>
      <c r="F403" s="179">
        <f>139558.02/4-F404</f>
        <v>13161.774999999998</v>
      </c>
      <c r="G403" s="131">
        <f t="shared" si="32"/>
        <v>179000.13999999996</v>
      </c>
      <c r="H403" s="106">
        <f>G403*(1+$G$9)*(1+$G$11)*(1+$G$16)</f>
        <v>185426.24502599996</v>
      </c>
      <c r="I403" s="19" t="s">
        <v>53</v>
      </c>
      <c r="J403" s="3"/>
      <c r="K403" s="17"/>
    </row>
    <row r="404" spans="1:26" ht="15" customHeight="1" x14ac:dyDescent="0.2">
      <c r="A404" s="18" t="s">
        <v>50</v>
      </c>
      <c r="B404" s="24" t="s">
        <v>72</v>
      </c>
      <c r="C404" s="18" t="s">
        <v>173</v>
      </c>
      <c r="D404" s="37">
        <v>7513</v>
      </c>
      <c r="E404" s="18" t="s">
        <v>174</v>
      </c>
      <c r="F404" s="179">
        <f>86910.92/4</f>
        <v>21727.73</v>
      </c>
      <c r="G404" s="131">
        <f t="shared" si="32"/>
        <v>295497.12799999997</v>
      </c>
      <c r="H404" s="106">
        <f>(G404/G$26*H$26)*(1+$G$9)*(1+$G$11)*(1+$G$16)</f>
        <v>371036.93926690903</v>
      </c>
      <c r="I404" s="19" t="s">
        <v>53</v>
      </c>
      <c r="J404" s="3"/>
      <c r="K404" s="17"/>
    </row>
    <row r="405" spans="1:26" ht="15" customHeight="1" x14ac:dyDescent="0.2">
      <c r="A405" s="18" t="s">
        <v>50</v>
      </c>
      <c r="B405" s="24" t="s">
        <v>72</v>
      </c>
      <c r="C405" s="25" t="s">
        <v>143</v>
      </c>
      <c r="D405" s="26">
        <v>8940</v>
      </c>
      <c r="E405" s="18" t="s">
        <v>14</v>
      </c>
      <c r="F405" s="179"/>
      <c r="G405" s="131">
        <f t="shared" si="32"/>
        <v>0</v>
      </c>
      <c r="H405" s="106">
        <f>G405*(1+$G$9)*(1+$G$11)*(1+$G$16)</f>
        <v>0</v>
      </c>
      <c r="I405" s="19" t="s">
        <v>53</v>
      </c>
      <c r="J405" s="3"/>
      <c r="K405" s="17"/>
    </row>
    <row r="406" spans="1:26" ht="15" customHeight="1" x14ac:dyDescent="0.2">
      <c r="A406" s="18" t="s">
        <v>50</v>
      </c>
      <c r="B406" s="24" t="s">
        <v>72</v>
      </c>
      <c r="C406" s="25" t="s">
        <v>144</v>
      </c>
      <c r="D406" s="26">
        <v>9141</v>
      </c>
      <c r="E406" s="18" t="s">
        <v>14</v>
      </c>
      <c r="F406" s="179">
        <v>1822.46</v>
      </c>
      <c r="G406" s="131">
        <f>(F406)*$I$27</f>
        <v>21869.52</v>
      </c>
      <c r="H406" s="106">
        <f>G406*(1+$G$9)*(1+$G$11)*(1+$G$16)</f>
        <v>22654.635768</v>
      </c>
      <c r="I406" s="19" t="s">
        <v>53</v>
      </c>
      <c r="J406" s="3"/>
      <c r="K406" s="4"/>
      <c r="L406" s="84"/>
      <c r="M406" s="5"/>
      <c r="N406" s="29"/>
      <c r="R406" s="5"/>
      <c r="S406" s="5"/>
      <c r="T406" s="5"/>
      <c r="U406" s="5"/>
      <c r="V406" s="5"/>
      <c r="W406" s="5"/>
      <c r="X406" s="5"/>
      <c r="Y406" s="5"/>
      <c r="Z406" s="30"/>
    </row>
    <row r="407" spans="1:26" ht="15" customHeight="1" x14ac:dyDescent="0.2">
      <c r="A407" s="18"/>
      <c r="B407" s="24"/>
      <c r="C407" s="25"/>
      <c r="D407" s="26"/>
      <c r="E407" s="18"/>
      <c r="F407" s="179"/>
      <c r="G407" s="131"/>
      <c r="H407" s="106">
        <f>SUM(H400:H406)</f>
        <v>1721138.5900585088</v>
      </c>
      <c r="I407" s="19"/>
      <c r="J407" s="3"/>
      <c r="K407" s="4"/>
      <c r="L407" s="84"/>
      <c r="M407" s="5"/>
      <c r="N407" s="29"/>
      <c r="R407" s="5"/>
      <c r="S407" s="5"/>
      <c r="T407" s="5"/>
      <c r="U407" s="5"/>
      <c r="V407" s="5"/>
      <c r="W407" s="5"/>
      <c r="X407" s="5"/>
      <c r="Y407" s="5"/>
      <c r="Z407" s="30"/>
    </row>
    <row r="408" spans="1:26" ht="15" customHeight="1" x14ac:dyDescent="0.2">
      <c r="A408" s="18" t="s">
        <v>50</v>
      </c>
      <c r="B408" s="24" t="s">
        <v>72</v>
      </c>
      <c r="C408" s="25" t="s">
        <v>28</v>
      </c>
      <c r="D408" s="36">
        <v>7515</v>
      </c>
      <c r="E408" s="18" t="s">
        <v>29</v>
      </c>
      <c r="F408" s="179">
        <v>5089.46</v>
      </c>
      <c r="G408" s="131">
        <f>(F408*1.1)*$E$27</f>
        <v>67180.872000000003</v>
      </c>
      <c r="H408" s="106">
        <f>G408*(1+$G$9)*(1+$G$11)*(1+$G$16)</f>
        <v>69592.665304800001</v>
      </c>
      <c r="I408" s="19" t="s">
        <v>53</v>
      </c>
      <c r="J408" s="3"/>
      <c r="K408" s="17"/>
    </row>
    <row r="409" spans="1:26" ht="15" customHeight="1" x14ac:dyDescent="0.2">
      <c r="A409" s="18" t="s">
        <v>50</v>
      </c>
      <c r="B409" s="24" t="s">
        <v>72</v>
      </c>
      <c r="C409" s="18" t="s">
        <v>18</v>
      </c>
      <c r="D409" s="37">
        <v>7511</v>
      </c>
      <c r="E409" s="18" t="s">
        <v>19</v>
      </c>
      <c r="F409" s="179"/>
      <c r="G409" s="131">
        <f>(F409)*$G$27</f>
        <v>0</v>
      </c>
      <c r="H409" s="106">
        <f>G409*(1+$G$9)*(1+$G$11)*(1+$G$16)</f>
        <v>0</v>
      </c>
      <c r="I409" s="19" t="s">
        <v>53</v>
      </c>
      <c r="J409" s="3"/>
      <c r="K409" s="17"/>
    </row>
    <row r="410" spans="1:26" ht="15" customHeight="1" x14ac:dyDescent="0.2">
      <c r="A410" s="18" t="s">
        <v>50</v>
      </c>
      <c r="B410" s="24" t="s">
        <v>72</v>
      </c>
      <c r="C410" s="25" t="s">
        <v>30</v>
      </c>
      <c r="D410" s="36">
        <v>7514</v>
      </c>
      <c r="E410" s="18" t="s">
        <v>31</v>
      </c>
      <c r="F410" s="179"/>
      <c r="G410" s="131"/>
      <c r="H410" s="106">
        <f>G410*(1+$G$9)*(1+$G$11)*(1+$G$16)</f>
        <v>0</v>
      </c>
      <c r="I410" s="19" t="s">
        <v>53</v>
      </c>
      <c r="J410" s="3"/>
      <c r="K410" s="4"/>
      <c r="L410" s="84"/>
      <c r="M410" s="5"/>
      <c r="N410" s="29"/>
      <c r="R410" s="5"/>
      <c r="S410" s="5"/>
      <c r="T410" s="5"/>
      <c r="U410" s="5"/>
      <c r="V410" s="5"/>
      <c r="W410" s="5"/>
      <c r="X410" s="5"/>
      <c r="Y410" s="5"/>
      <c r="Z410" s="30"/>
    </row>
    <row r="411" spans="1:26" ht="15" customHeight="1" x14ac:dyDescent="0.2">
      <c r="A411" s="111"/>
      <c r="B411" s="112"/>
      <c r="C411" s="113"/>
      <c r="D411" s="114"/>
      <c r="E411" s="111"/>
      <c r="F411" s="180">
        <f>SUM(F399:F410)</f>
        <v>122863.41500000001</v>
      </c>
      <c r="G411" s="123">
        <f>SUM(G399:G410)</f>
        <v>1665990.7239999999</v>
      </c>
      <c r="H411" s="123">
        <f>SUM(H407:H410)</f>
        <v>1790731.2553633088</v>
      </c>
      <c r="I411" s="19"/>
      <c r="J411" s="3"/>
      <c r="K411" s="17"/>
    </row>
    <row r="412" spans="1:26" ht="15" customHeight="1" x14ac:dyDescent="0.2">
      <c r="A412" s="18" t="s">
        <v>50</v>
      </c>
      <c r="B412" s="240" t="s">
        <v>189</v>
      </c>
      <c r="C412" s="25" t="s">
        <v>61</v>
      </c>
      <c r="D412" s="26">
        <v>7575</v>
      </c>
      <c r="E412" s="18" t="s">
        <v>43</v>
      </c>
      <c r="F412" s="179">
        <f>1284.37+263.31</f>
        <v>1547.6799999999998</v>
      </c>
      <c r="G412" s="131">
        <f t="shared" ref="G412:G418" si="33">(F412)*$G$27</f>
        <v>21048.447999999997</v>
      </c>
      <c r="H412" s="106">
        <f>G412*(1+$G$9)*(1+$G$11)*(1+$G$16)</f>
        <v>21804.087283199999</v>
      </c>
      <c r="I412" s="19" t="s">
        <v>57</v>
      </c>
      <c r="J412" s="3"/>
      <c r="K412" s="17"/>
      <c r="L412" s="35"/>
      <c r="M412" s="35"/>
    </row>
    <row r="413" spans="1:26" ht="15" customHeight="1" x14ac:dyDescent="0.2">
      <c r="A413" s="18" t="s">
        <v>50</v>
      </c>
      <c r="B413" s="24" t="s">
        <v>73</v>
      </c>
      <c r="C413" s="25" t="s">
        <v>16</v>
      </c>
      <c r="D413" s="26">
        <v>7577</v>
      </c>
      <c r="E413" s="18" t="s">
        <v>17</v>
      </c>
      <c r="F413" s="179">
        <v>14840.73</v>
      </c>
      <c r="G413" s="131">
        <f t="shared" si="33"/>
        <v>201833.92799999999</v>
      </c>
      <c r="H413" s="106">
        <f>G413*(1+$G$9)*(1+$G$11)*(1+$G$16)</f>
        <v>209079.7660152</v>
      </c>
      <c r="I413" s="19" t="s">
        <v>57</v>
      </c>
      <c r="J413" s="3"/>
      <c r="K413" s="17"/>
    </row>
    <row r="414" spans="1:26" ht="15" customHeight="1" x14ac:dyDescent="0.2">
      <c r="A414" s="18" t="s">
        <v>50</v>
      </c>
      <c r="B414" s="24" t="s">
        <v>73</v>
      </c>
      <c r="C414" s="25" t="s">
        <v>48</v>
      </c>
      <c r="D414" s="26">
        <v>7578</v>
      </c>
      <c r="E414" s="18" t="s">
        <v>22</v>
      </c>
      <c r="F414" s="179"/>
      <c r="G414" s="131">
        <f t="shared" si="33"/>
        <v>0</v>
      </c>
      <c r="H414" s="106">
        <f>G414*(1+$G$9)*(1+$G$11)*(1+$G$16)</f>
        <v>0</v>
      </c>
      <c r="I414" s="19" t="s">
        <v>57</v>
      </c>
      <c r="J414" s="3"/>
      <c r="K414" s="17"/>
    </row>
    <row r="415" spans="1:26" ht="15" customHeight="1" x14ac:dyDescent="0.2">
      <c r="A415" s="18" t="s">
        <v>50</v>
      </c>
      <c r="B415" s="24" t="s">
        <v>73</v>
      </c>
      <c r="C415" s="25" t="s">
        <v>35</v>
      </c>
      <c r="D415" s="26">
        <v>7579</v>
      </c>
      <c r="E415" s="18" t="s">
        <v>26</v>
      </c>
      <c r="F415" s="179"/>
      <c r="G415" s="131">
        <f t="shared" si="33"/>
        <v>0</v>
      </c>
      <c r="H415" s="106">
        <f>G415*(1+$G$9)*(1+$G$11)*(1+$G$16)</f>
        <v>0</v>
      </c>
      <c r="I415" s="19" t="s">
        <v>57</v>
      </c>
      <c r="J415" s="3"/>
      <c r="K415" s="17"/>
    </row>
    <row r="416" spans="1:26" ht="15" customHeight="1" x14ac:dyDescent="0.2">
      <c r="A416" s="18" t="s">
        <v>50</v>
      </c>
      <c r="B416" s="24" t="s">
        <v>73</v>
      </c>
      <c r="C416" s="18" t="s">
        <v>172</v>
      </c>
      <c r="D416" s="26">
        <v>7580</v>
      </c>
      <c r="E416" s="18" t="s">
        <v>19</v>
      </c>
      <c r="F416" s="179">
        <f>28919.28/4-F417</f>
        <v>2727.42</v>
      </c>
      <c r="G416" s="131">
        <f t="shared" si="33"/>
        <v>37092.911999999997</v>
      </c>
      <c r="H416" s="106">
        <f>G416*(1+$G$9)*(1+$G$11)*(1+$G$16)</f>
        <v>38424.547540799998</v>
      </c>
      <c r="I416" s="19" t="s">
        <v>57</v>
      </c>
      <c r="J416" s="3"/>
      <c r="K416" s="17"/>
    </row>
    <row r="417" spans="1:26" ht="15" customHeight="1" x14ac:dyDescent="0.2">
      <c r="A417" s="18" t="s">
        <v>50</v>
      </c>
      <c r="B417" s="24" t="s">
        <v>73</v>
      </c>
      <c r="C417" s="18" t="s">
        <v>173</v>
      </c>
      <c r="D417" s="26">
        <v>7580</v>
      </c>
      <c r="E417" s="18" t="s">
        <v>174</v>
      </c>
      <c r="F417" s="179">
        <f>18009.6/4</f>
        <v>4502.3999999999996</v>
      </c>
      <c r="G417" s="131">
        <f t="shared" si="33"/>
        <v>61232.639999999992</v>
      </c>
      <c r="H417" s="106">
        <f>(G417/G$26*H$26)*(1+$G$9)*(1+$G$11)*(1+$G$16)</f>
        <v>76885.929425454538</v>
      </c>
      <c r="I417" s="19" t="s">
        <v>57</v>
      </c>
      <c r="J417" s="3"/>
      <c r="K417" s="17"/>
    </row>
    <row r="418" spans="1:26" ht="15" customHeight="1" x14ac:dyDescent="0.2">
      <c r="A418" s="18" t="s">
        <v>50</v>
      </c>
      <c r="B418" s="24" t="s">
        <v>73</v>
      </c>
      <c r="C418" s="25" t="s">
        <v>143</v>
      </c>
      <c r="D418" s="26">
        <v>8941</v>
      </c>
      <c r="E418" s="18" t="s">
        <v>14</v>
      </c>
      <c r="F418" s="179">
        <v>102.54</v>
      </c>
      <c r="G418" s="131">
        <f t="shared" si="33"/>
        <v>1394.5440000000001</v>
      </c>
      <c r="H418" s="106">
        <f>G418*(1+$G$9)*(1+$G$11)*(1+$G$16)</f>
        <v>1444.6081296000002</v>
      </c>
      <c r="I418" s="19" t="s">
        <v>57</v>
      </c>
      <c r="J418" s="3"/>
      <c r="K418" s="17"/>
    </row>
    <row r="419" spans="1:26" ht="15" customHeight="1" x14ac:dyDescent="0.2">
      <c r="A419" s="18" t="s">
        <v>50</v>
      </c>
      <c r="B419" s="24" t="s">
        <v>73</v>
      </c>
      <c r="C419" s="25" t="s">
        <v>144</v>
      </c>
      <c r="D419" s="26">
        <v>9142</v>
      </c>
      <c r="E419" s="18" t="s">
        <v>14</v>
      </c>
      <c r="F419" s="179">
        <v>593.58000000000004</v>
      </c>
      <c r="G419" s="131">
        <f>(F419)*$I$27</f>
        <v>7122.9600000000009</v>
      </c>
      <c r="H419" s="106">
        <f>G419*(1+$G$9)*(1+$G$11)*(1+$G$16)</f>
        <v>7378.6742640000011</v>
      </c>
      <c r="I419" s="19" t="s">
        <v>57</v>
      </c>
      <c r="J419" s="3"/>
      <c r="K419" s="4"/>
      <c r="L419" s="84"/>
      <c r="M419" s="5"/>
      <c r="N419" s="29"/>
      <c r="R419" s="5"/>
      <c r="S419" s="5"/>
      <c r="T419" s="5"/>
      <c r="U419" s="5"/>
      <c r="V419" s="5"/>
      <c r="W419" s="5"/>
      <c r="X419" s="5"/>
      <c r="Y419" s="5"/>
      <c r="Z419" s="30"/>
    </row>
    <row r="420" spans="1:26" ht="15" customHeight="1" x14ac:dyDescent="0.2">
      <c r="A420" s="18"/>
      <c r="B420" s="24"/>
      <c r="C420" s="25"/>
      <c r="D420" s="26"/>
      <c r="E420" s="18"/>
      <c r="F420" s="179"/>
      <c r="G420" s="131"/>
      <c r="H420" s="106">
        <f>SUM(H412:H419)</f>
        <v>355017.61265825457</v>
      </c>
      <c r="I420" s="21">
        <f>SUM(H420:H420)</f>
        <v>355017.61265825457</v>
      </c>
      <c r="J420" s="3"/>
      <c r="K420" s="4"/>
      <c r="L420" s="84"/>
      <c r="M420" s="5"/>
      <c r="N420" s="29"/>
      <c r="R420" s="5"/>
      <c r="S420" s="5"/>
      <c r="T420" s="5"/>
      <c r="U420" s="5"/>
      <c r="V420" s="5"/>
      <c r="W420" s="5"/>
      <c r="X420" s="5"/>
      <c r="Y420" s="5"/>
      <c r="Z420" s="30"/>
    </row>
    <row r="421" spans="1:26" ht="15" customHeight="1" x14ac:dyDescent="0.2">
      <c r="A421" s="18" t="s">
        <v>50</v>
      </c>
      <c r="B421" s="24" t="s">
        <v>73</v>
      </c>
      <c r="C421" s="25" t="s">
        <v>28</v>
      </c>
      <c r="D421" s="26">
        <v>7582</v>
      </c>
      <c r="E421" s="18" t="s">
        <v>29</v>
      </c>
      <c r="F421" s="179">
        <v>2694.42</v>
      </c>
      <c r="G421" s="131">
        <f>(F421*1.1)*$E$27</f>
        <v>35566.344000000005</v>
      </c>
      <c r="H421" s="106">
        <f>G421*(1+$G$9)*(1+$G$11)*(1+$G$16)</f>
        <v>36843.175749600006</v>
      </c>
      <c r="I421" s="19" t="s">
        <v>57</v>
      </c>
      <c r="J421" s="3"/>
      <c r="K421" s="17"/>
    </row>
    <row r="422" spans="1:26" ht="15" customHeight="1" x14ac:dyDescent="0.2">
      <c r="A422" s="18" t="s">
        <v>50</v>
      </c>
      <c r="B422" s="24" t="s">
        <v>73</v>
      </c>
      <c r="C422" s="18" t="s">
        <v>18</v>
      </c>
      <c r="D422" s="26">
        <v>7583</v>
      </c>
      <c r="E422" s="18" t="s">
        <v>19</v>
      </c>
      <c r="F422" s="179"/>
      <c r="G422" s="131">
        <f>(F422)*$G$27</f>
        <v>0</v>
      </c>
      <c r="H422" s="106">
        <f>G422*(1+$G$9)*(1+$G$11)*(1+$G$16)</f>
        <v>0</v>
      </c>
      <c r="I422" s="19" t="s">
        <v>57</v>
      </c>
      <c r="J422" s="3"/>
      <c r="K422" s="17"/>
    </row>
    <row r="423" spans="1:26" ht="15" customHeight="1" x14ac:dyDescent="0.2">
      <c r="A423" s="18" t="s">
        <v>50</v>
      </c>
      <c r="B423" s="24" t="s">
        <v>73</v>
      </c>
      <c r="C423" s="25" t="s">
        <v>30</v>
      </c>
      <c r="D423" s="26">
        <v>7581</v>
      </c>
      <c r="E423" s="18" t="s">
        <v>31</v>
      </c>
      <c r="F423" s="179"/>
      <c r="G423" s="131"/>
      <c r="H423" s="106">
        <f>G423*(1+$G$9)*(1+$G$11)*(1+$G$16)</f>
        <v>0</v>
      </c>
      <c r="I423" s="19" t="s">
        <v>57</v>
      </c>
      <c r="J423" s="3"/>
      <c r="K423" s="4"/>
      <c r="L423" s="84"/>
      <c r="M423" s="5"/>
      <c r="N423" s="29"/>
      <c r="R423" s="5"/>
      <c r="S423" s="5"/>
      <c r="T423" s="5"/>
      <c r="U423" s="5"/>
      <c r="V423" s="5"/>
      <c r="W423" s="5"/>
      <c r="X423" s="5"/>
      <c r="Y423" s="5"/>
      <c r="Z423" s="30"/>
    </row>
    <row r="424" spans="1:26" ht="15" customHeight="1" x14ac:dyDescent="0.2">
      <c r="A424" s="111"/>
      <c r="B424" s="112"/>
      <c r="C424" s="113"/>
      <c r="D424" s="114"/>
      <c r="E424" s="111"/>
      <c r="F424" s="180">
        <f>SUM(F412:F423)</f>
        <v>27008.770000000004</v>
      </c>
      <c r="G424" s="123">
        <f>SUM(G412:G423)</f>
        <v>365291.77600000001</v>
      </c>
      <c r="H424" s="123">
        <f>SUM(H420:H423)</f>
        <v>391860.78840785456</v>
      </c>
      <c r="I424" s="19"/>
      <c r="J424" s="3"/>
      <c r="K424" s="17"/>
    </row>
    <row r="425" spans="1:26" ht="15" customHeight="1" x14ac:dyDescent="0.2">
      <c r="A425" s="18" t="s">
        <v>74</v>
      </c>
      <c r="B425" s="24">
        <v>2024</v>
      </c>
      <c r="C425" s="25" t="s">
        <v>61</v>
      </c>
      <c r="D425" s="26">
        <v>1222</v>
      </c>
      <c r="E425" s="18" t="s">
        <v>75</v>
      </c>
      <c r="F425" s="181">
        <v>10074.790000000001</v>
      </c>
      <c r="G425" s="131">
        <f t="shared" ref="G425:G431" si="34">(F425)*$G$27</f>
        <v>137017.144</v>
      </c>
      <c r="H425" s="106">
        <f>G425*(1+$G$9)*(1+$G$11)*(1+$G$16)</f>
        <v>141936.0594696</v>
      </c>
      <c r="I425" s="19" t="s">
        <v>76</v>
      </c>
      <c r="J425" s="3"/>
      <c r="K425" s="85"/>
    </row>
    <row r="426" spans="1:26" ht="15" customHeight="1" x14ac:dyDescent="0.2">
      <c r="A426" s="18" t="s">
        <v>74</v>
      </c>
      <c r="B426" s="24">
        <v>2024</v>
      </c>
      <c r="C426" s="25" t="s">
        <v>16</v>
      </c>
      <c r="D426" s="26">
        <v>1224</v>
      </c>
      <c r="E426" s="18" t="s">
        <v>17</v>
      </c>
      <c r="F426" s="181">
        <f>227842.07-1602.12-4534.74-4056.51</f>
        <v>217648.7</v>
      </c>
      <c r="G426" s="131">
        <f t="shared" si="34"/>
        <v>2960022.3200000003</v>
      </c>
      <c r="H426" s="106">
        <f>G426*(1+$G$9)*(1+$G$11)*(1+$G$16)</f>
        <v>3066287.1212880006</v>
      </c>
      <c r="I426" s="19" t="s">
        <v>76</v>
      </c>
      <c r="J426" s="3"/>
      <c r="K426" s="17"/>
    </row>
    <row r="427" spans="1:26" ht="15" customHeight="1" x14ac:dyDescent="0.2">
      <c r="A427" s="18" t="s">
        <v>74</v>
      </c>
      <c r="B427" s="24">
        <v>2024</v>
      </c>
      <c r="C427" s="25" t="s">
        <v>48</v>
      </c>
      <c r="D427" s="26">
        <v>1225</v>
      </c>
      <c r="E427" s="18" t="s">
        <v>77</v>
      </c>
      <c r="F427" s="181">
        <v>4056.51</v>
      </c>
      <c r="G427" s="131">
        <f t="shared" si="34"/>
        <v>55168.536</v>
      </c>
      <c r="H427" s="106">
        <f>G427*(1+$G$9)*(1+$G$11)*(1+$G$16)</f>
        <v>57149.086442400003</v>
      </c>
      <c r="I427" s="19" t="s">
        <v>76</v>
      </c>
      <c r="J427" s="3"/>
      <c r="K427" s="17"/>
    </row>
    <row r="428" spans="1:26" ht="15" customHeight="1" x14ac:dyDescent="0.2">
      <c r="A428" s="18" t="s">
        <v>74</v>
      </c>
      <c r="B428" s="24">
        <v>2024</v>
      </c>
      <c r="C428" s="25" t="s">
        <v>35</v>
      </c>
      <c r="D428" s="26">
        <v>1226</v>
      </c>
      <c r="E428" s="18" t="s">
        <v>26</v>
      </c>
      <c r="F428" s="181"/>
      <c r="G428" s="131">
        <f t="shared" si="34"/>
        <v>0</v>
      </c>
      <c r="H428" s="106">
        <f>G428*(1+$G$9)*(1+$G$11)*(1+$G$16)</f>
        <v>0</v>
      </c>
      <c r="I428" s="19" t="s">
        <v>76</v>
      </c>
      <c r="J428" s="3"/>
      <c r="K428" s="17"/>
    </row>
    <row r="429" spans="1:26" ht="15" customHeight="1" x14ac:dyDescent="0.2">
      <c r="A429" s="18" t="s">
        <v>74</v>
      </c>
      <c r="B429" s="24">
        <v>2024</v>
      </c>
      <c r="C429" s="18" t="s">
        <v>172</v>
      </c>
      <c r="D429" s="20">
        <v>1151</v>
      </c>
      <c r="E429" s="18" t="s">
        <v>19</v>
      </c>
      <c r="F429" s="181">
        <f>385818.32/4-F430</f>
        <v>36386.722500000003</v>
      </c>
      <c r="G429" s="131">
        <f t="shared" si="34"/>
        <v>494859.42600000004</v>
      </c>
      <c r="H429" s="106">
        <f>G429*(1+$G$9)*(1+$G$11)*(1+$G$16)</f>
        <v>512624.87939340004</v>
      </c>
      <c r="I429" s="19" t="s">
        <v>76</v>
      </c>
      <c r="J429" s="3"/>
      <c r="K429" s="17"/>
    </row>
    <row r="430" spans="1:26" ht="15" customHeight="1" x14ac:dyDescent="0.2">
      <c r="A430" s="18" t="s">
        <v>74</v>
      </c>
      <c r="B430" s="24">
        <v>2024</v>
      </c>
      <c r="C430" s="18" t="s">
        <v>173</v>
      </c>
      <c r="D430" s="20">
        <v>1151</v>
      </c>
      <c r="E430" s="18" t="s">
        <v>174</v>
      </c>
      <c r="F430" s="181">
        <f>240271.43/4</f>
        <v>60067.857499999998</v>
      </c>
      <c r="G430" s="131">
        <f t="shared" si="34"/>
        <v>816922.86199999996</v>
      </c>
      <c r="H430" s="106">
        <f>(G430/G$26*H$26)*(1+$G$9)*(1+$G$11)*(1+$G$16)</f>
        <v>1025758.051813091</v>
      </c>
      <c r="I430" s="19" t="s">
        <v>76</v>
      </c>
      <c r="J430" s="3"/>
      <c r="K430" s="17"/>
    </row>
    <row r="431" spans="1:26" ht="15" customHeight="1" x14ac:dyDescent="0.2">
      <c r="A431" s="18" t="s">
        <v>74</v>
      </c>
      <c r="B431" s="24">
        <v>2024</v>
      </c>
      <c r="C431" s="25" t="s">
        <v>143</v>
      </c>
      <c r="D431" s="26">
        <v>8946</v>
      </c>
      <c r="E431" s="18" t="s">
        <v>14</v>
      </c>
      <c r="F431" s="181"/>
      <c r="G431" s="131">
        <f t="shared" si="34"/>
        <v>0</v>
      </c>
      <c r="H431" s="106">
        <f>G431*(1+$G$9)*(1+$G$11)*(1+$G$16)</f>
        <v>0</v>
      </c>
      <c r="I431" s="19" t="s">
        <v>76</v>
      </c>
      <c r="J431" s="3"/>
      <c r="K431" s="17"/>
    </row>
    <row r="432" spans="1:26" ht="15" customHeight="1" x14ac:dyDescent="0.2">
      <c r="A432" s="18" t="s">
        <v>74</v>
      </c>
      <c r="B432" s="24">
        <v>2024</v>
      </c>
      <c r="C432" s="25" t="s">
        <v>144</v>
      </c>
      <c r="D432" s="26">
        <v>9143</v>
      </c>
      <c r="E432" s="18" t="s">
        <v>14</v>
      </c>
      <c r="F432" s="181">
        <v>6862.27</v>
      </c>
      <c r="G432" s="131">
        <f>(F432)*$I$27</f>
        <v>82347.240000000005</v>
      </c>
      <c r="H432" s="106">
        <f>G432*(1+$G$9)*(1+$G$11)*(1+$G$16)</f>
        <v>85303.505916000009</v>
      </c>
      <c r="I432" s="19" t="s">
        <v>76</v>
      </c>
      <c r="J432" s="3"/>
      <c r="K432" s="4"/>
      <c r="L432" s="84"/>
      <c r="M432" s="5"/>
      <c r="N432" s="29"/>
      <c r="R432" s="5"/>
      <c r="S432" s="5"/>
      <c r="T432" s="5"/>
      <c r="U432" s="5"/>
      <c r="V432" s="5"/>
      <c r="W432" s="5"/>
      <c r="X432" s="5"/>
      <c r="Y432" s="5"/>
      <c r="Z432" s="30"/>
    </row>
    <row r="433" spans="1:26" ht="15" customHeight="1" x14ac:dyDescent="0.2">
      <c r="A433" s="18"/>
      <c r="B433" s="24"/>
      <c r="C433" s="25"/>
      <c r="D433" s="26"/>
      <c r="E433" s="18"/>
      <c r="F433" s="181"/>
      <c r="G433" s="131"/>
      <c r="H433" s="106">
        <f>SUM(H425:H432)</f>
        <v>4889058.7043224918</v>
      </c>
      <c r="I433" s="19"/>
      <c r="J433" s="3"/>
      <c r="K433" s="4"/>
      <c r="L433" s="84"/>
      <c r="M433" s="5"/>
      <c r="N433" s="29"/>
      <c r="R433" s="5"/>
      <c r="S433" s="5"/>
      <c r="T433" s="5"/>
      <c r="U433" s="5"/>
      <c r="V433" s="5"/>
      <c r="W433" s="5"/>
      <c r="X433" s="5"/>
      <c r="Y433" s="5"/>
      <c r="Z433" s="30"/>
    </row>
    <row r="434" spans="1:26" ht="15" customHeight="1" x14ac:dyDescent="0.2">
      <c r="A434" s="18" t="s">
        <v>74</v>
      </c>
      <c r="B434" s="24">
        <v>2024</v>
      </c>
      <c r="C434" s="25" t="s">
        <v>28</v>
      </c>
      <c r="D434" s="26">
        <v>1380</v>
      </c>
      <c r="E434" s="18" t="s">
        <v>29</v>
      </c>
      <c r="F434" s="181">
        <v>16166.52</v>
      </c>
      <c r="G434" s="131">
        <f>(F434*1.1)*$E$27</f>
        <v>213398.06400000001</v>
      </c>
      <c r="H434" s="106">
        <f>G434*(1+$G$9)*(1+$G$11)*(1+$G$16)</f>
        <v>221059.05449760001</v>
      </c>
      <c r="I434" s="19" t="s">
        <v>76</v>
      </c>
      <c r="J434" s="3"/>
      <c r="K434" s="17"/>
    </row>
    <row r="435" spans="1:26" ht="15" customHeight="1" x14ac:dyDescent="0.2">
      <c r="A435" s="18" t="s">
        <v>74</v>
      </c>
      <c r="B435" s="24">
        <v>2024</v>
      </c>
      <c r="C435" s="18" t="s">
        <v>18</v>
      </c>
      <c r="D435" s="20">
        <v>1215</v>
      </c>
      <c r="E435" s="18" t="s">
        <v>19</v>
      </c>
      <c r="F435" s="181">
        <v>2777.13</v>
      </c>
      <c r="G435" s="131">
        <f>(F435)*$G$27</f>
        <v>37768.968000000001</v>
      </c>
      <c r="H435" s="106">
        <f>G435*(1+$G$9)*(1+$G$11)*(1+$G$16)</f>
        <v>39124.873951200003</v>
      </c>
      <c r="I435" s="19" t="s">
        <v>76</v>
      </c>
      <c r="J435" s="4"/>
      <c r="K435" s="17"/>
    </row>
    <row r="436" spans="1:26" ht="15" customHeight="1" x14ac:dyDescent="0.2">
      <c r="A436" s="18" t="s">
        <v>74</v>
      </c>
      <c r="B436" s="24">
        <v>2024</v>
      </c>
      <c r="C436" s="25" t="s">
        <v>30</v>
      </c>
      <c r="D436" s="26">
        <v>1152</v>
      </c>
      <c r="E436" s="18" t="s">
        <v>31</v>
      </c>
      <c r="F436" s="181"/>
      <c r="G436" s="131"/>
      <c r="H436" s="106">
        <f>G436*(1+$G$9)*(1+$G$11)*(1+$G$16)</f>
        <v>0</v>
      </c>
      <c r="I436" s="19" t="s">
        <v>76</v>
      </c>
      <c r="J436" s="3"/>
      <c r="K436" s="4"/>
      <c r="L436" s="84"/>
      <c r="M436" s="5"/>
      <c r="N436" s="29"/>
      <c r="R436" s="5"/>
      <c r="S436" s="5"/>
      <c r="T436" s="5"/>
      <c r="U436" s="5"/>
      <c r="V436" s="5"/>
      <c r="W436" s="5"/>
      <c r="X436" s="5"/>
      <c r="Y436" s="5"/>
      <c r="Z436" s="30"/>
    </row>
    <row r="437" spans="1:26" ht="15" customHeight="1" x14ac:dyDescent="0.2">
      <c r="A437" s="111"/>
      <c r="B437" s="112"/>
      <c r="C437" s="113"/>
      <c r="D437" s="114"/>
      <c r="E437" s="111"/>
      <c r="F437" s="180">
        <f>SUM(F425:F436)</f>
        <v>354040.50000000006</v>
      </c>
      <c r="G437" s="123">
        <f>SUM(G425:G436)</f>
        <v>4797504.5600000005</v>
      </c>
      <c r="H437" s="123">
        <f>SUM(H433:H436)</f>
        <v>5149242.6327712918</v>
      </c>
      <c r="I437" s="19"/>
      <c r="J437" s="3"/>
      <c r="K437" s="17"/>
    </row>
    <row r="438" spans="1:26" ht="15" customHeight="1" x14ac:dyDescent="0.2">
      <c r="A438" s="18" t="s">
        <v>74</v>
      </c>
      <c r="B438" s="24" t="s">
        <v>78</v>
      </c>
      <c r="C438" s="25" t="s">
        <v>61</v>
      </c>
      <c r="D438" s="26">
        <v>4888</v>
      </c>
      <c r="E438" s="18" t="s">
        <v>75</v>
      </c>
      <c r="F438" s="181">
        <f>7491.75+1535.79</f>
        <v>9027.5400000000009</v>
      </c>
      <c r="G438" s="131">
        <f>(F438)*$G$27</f>
        <v>122774.54400000001</v>
      </c>
      <c r="H438" s="106">
        <f>G438*(1+$G$9)*(1+$G$11)*(1+$G$16)</f>
        <v>127182.15012960002</v>
      </c>
      <c r="I438" s="19" t="s">
        <v>76</v>
      </c>
      <c r="J438" s="3"/>
      <c r="K438" s="17"/>
    </row>
    <row r="439" spans="1:26" ht="15" customHeight="1" x14ac:dyDescent="0.2">
      <c r="A439" s="18" t="s">
        <v>74</v>
      </c>
      <c r="B439" s="24">
        <v>2239</v>
      </c>
      <c r="C439" s="25" t="s">
        <v>16</v>
      </c>
      <c r="D439" s="26">
        <v>4889</v>
      </c>
      <c r="E439" s="18" t="s">
        <v>17</v>
      </c>
      <c r="F439" s="181">
        <f>148103.34-2449.91-4030.67</f>
        <v>141622.75999999998</v>
      </c>
      <c r="G439" s="131">
        <f>(F439)*$G$27</f>
        <v>1926069.5359999996</v>
      </c>
      <c r="H439" s="106">
        <f>G439*(1+$G$9)*(1+$G$11)*(1+$G$16)</f>
        <v>1995215.4323423996</v>
      </c>
      <c r="I439" s="19" t="s">
        <v>76</v>
      </c>
      <c r="J439" s="3"/>
      <c r="K439" s="17"/>
    </row>
    <row r="440" spans="1:26" ht="15" customHeight="1" x14ac:dyDescent="0.2">
      <c r="A440" s="18" t="s">
        <v>74</v>
      </c>
      <c r="B440" s="24">
        <v>2239</v>
      </c>
      <c r="C440" s="25" t="s">
        <v>48</v>
      </c>
      <c r="D440" s="26">
        <v>4892</v>
      </c>
      <c r="E440" s="18" t="s">
        <v>77</v>
      </c>
      <c r="F440" s="181">
        <v>4030.67</v>
      </c>
      <c r="G440" s="131">
        <f>(F440)*$G$27</f>
        <v>54817.112000000001</v>
      </c>
      <c r="H440" s="106">
        <f>G440*(1+$G$9)*(1+$G$11)*(1+$G$16)</f>
        <v>56785.0463208</v>
      </c>
      <c r="I440" s="19" t="s">
        <v>76</v>
      </c>
      <c r="J440" s="3"/>
      <c r="K440" s="17"/>
    </row>
    <row r="441" spans="1:26" ht="15" customHeight="1" x14ac:dyDescent="0.2">
      <c r="A441" s="18" t="s">
        <v>74</v>
      </c>
      <c r="B441" s="24">
        <v>2239</v>
      </c>
      <c r="C441" s="25" t="s">
        <v>35</v>
      </c>
      <c r="D441" s="26">
        <v>4893</v>
      </c>
      <c r="E441" s="18" t="s">
        <v>26</v>
      </c>
      <c r="F441" s="181"/>
      <c r="G441" s="131">
        <f>F441</f>
        <v>0</v>
      </c>
      <c r="H441" s="106">
        <f>G441*(1+$G$9)*(1+$G$11)*(1+$G$16)</f>
        <v>0</v>
      </c>
      <c r="I441" s="19" t="s">
        <v>76</v>
      </c>
      <c r="J441" s="3"/>
      <c r="K441" s="17"/>
    </row>
    <row r="442" spans="1:26" ht="15" customHeight="1" x14ac:dyDescent="0.2">
      <c r="A442" s="18" t="s">
        <v>74</v>
      </c>
      <c r="B442" s="24">
        <v>2239</v>
      </c>
      <c r="C442" s="18" t="s">
        <v>172</v>
      </c>
      <c r="D442" s="20">
        <v>4890</v>
      </c>
      <c r="E442" s="18" t="s">
        <v>19</v>
      </c>
      <c r="F442" s="181">
        <f>261605.88/4-F443</f>
        <v>24672.162499999999</v>
      </c>
      <c r="G442" s="131">
        <f>(F442)*$G$27</f>
        <v>335541.40999999997</v>
      </c>
      <c r="H442" s="106">
        <f>G442*(1+$G$9)*(1+$G$11)*(1+$G$16)</f>
        <v>347587.34661899996</v>
      </c>
      <c r="I442" s="19" t="s">
        <v>76</v>
      </c>
      <c r="J442" s="3"/>
      <c r="K442" s="17"/>
    </row>
    <row r="443" spans="1:26" ht="15" customHeight="1" x14ac:dyDescent="0.2">
      <c r="A443" s="18" t="s">
        <v>74</v>
      </c>
      <c r="B443" s="24">
        <v>2239</v>
      </c>
      <c r="C443" s="18" t="s">
        <v>173</v>
      </c>
      <c r="D443" s="20">
        <v>4890</v>
      </c>
      <c r="E443" s="18" t="s">
        <v>174</v>
      </c>
      <c r="F443" s="181">
        <f>162917.23/4</f>
        <v>40729.307500000003</v>
      </c>
      <c r="G443" s="131">
        <f>(F443)*$G$27</f>
        <v>553918.58200000005</v>
      </c>
      <c r="H443" s="106">
        <f>(G443/G$26*H$26)*(1+$G$9)*(1+$G$11)*(1+$G$16)</f>
        <v>695520.31405309099</v>
      </c>
      <c r="I443" s="19" t="s">
        <v>76</v>
      </c>
      <c r="J443" s="3"/>
      <c r="K443" s="17"/>
    </row>
    <row r="444" spans="1:26" ht="15" customHeight="1" x14ac:dyDescent="0.2">
      <c r="A444" s="18" t="s">
        <v>74</v>
      </c>
      <c r="B444" s="24">
        <v>2239</v>
      </c>
      <c r="C444" s="25" t="s">
        <v>143</v>
      </c>
      <c r="D444" s="26">
        <v>8947</v>
      </c>
      <c r="E444" s="18" t="s">
        <v>14</v>
      </c>
      <c r="F444" s="179"/>
      <c r="G444" s="131">
        <f>(F444*1.1)*$E$27</f>
        <v>0</v>
      </c>
      <c r="H444" s="106">
        <f>G444*(1+$G$9)*(1+$G$11)*(1+$G$16)</f>
        <v>0</v>
      </c>
      <c r="I444" s="19" t="s">
        <v>76</v>
      </c>
      <c r="J444" s="3"/>
      <c r="K444" s="17"/>
    </row>
    <row r="445" spans="1:26" ht="15" customHeight="1" x14ac:dyDescent="0.2">
      <c r="A445" s="18" t="s">
        <v>74</v>
      </c>
      <c r="B445" s="24">
        <v>2239</v>
      </c>
      <c r="C445" s="25" t="s">
        <v>144</v>
      </c>
      <c r="D445" s="26">
        <v>9144</v>
      </c>
      <c r="E445" s="18" t="s">
        <v>14</v>
      </c>
      <c r="F445" s="179">
        <v>2525.2800000000002</v>
      </c>
      <c r="G445" s="131">
        <f>(F445)*$I$27</f>
        <v>30303.360000000001</v>
      </c>
      <c r="H445" s="106">
        <f>G445*(1+$G$9)*(1+$G$11)*(1+$G$16)</f>
        <v>31391.250624</v>
      </c>
      <c r="I445" s="19" t="s">
        <v>76</v>
      </c>
      <c r="J445" s="3"/>
      <c r="K445" s="4"/>
      <c r="L445" s="84"/>
      <c r="M445" s="5"/>
      <c r="N445" s="29"/>
      <c r="R445" s="5"/>
      <c r="S445" s="5"/>
      <c r="T445" s="5"/>
      <c r="U445" s="5"/>
      <c r="V445" s="5"/>
      <c r="W445" s="5"/>
      <c r="X445" s="5"/>
      <c r="Y445" s="5"/>
      <c r="Z445" s="30"/>
    </row>
    <row r="446" spans="1:26" ht="15" customHeight="1" x14ac:dyDescent="0.2">
      <c r="A446" s="18"/>
      <c r="B446" s="24"/>
      <c r="C446" s="25"/>
      <c r="D446" s="26"/>
      <c r="E446" s="18"/>
      <c r="F446" s="179"/>
      <c r="G446" s="131"/>
      <c r="H446" s="106">
        <f>SUM(H438:H445)</f>
        <v>3253681.5400888911</v>
      </c>
      <c r="I446" s="19"/>
      <c r="J446" s="3"/>
      <c r="K446" s="4"/>
      <c r="L446" s="84"/>
      <c r="M446" s="5"/>
      <c r="N446" s="29"/>
      <c r="R446" s="5"/>
      <c r="S446" s="5"/>
      <c r="T446" s="5"/>
      <c r="U446" s="5"/>
      <c r="V446" s="5"/>
      <c r="W446" s="5"/>
      <c r="X446" s="5"/>
      <c r="Y446" s="5"/>
      <c r="Z446" s="30"/>
    </row>
    <row r="447" spans="1:26" ht="15" customHeight="1" x14ac:dyDescent="0.2">
      <c r="A447" s="18" t="s">
        <v>74</v>
      </c>
      <c r="B447" s="24">
        <v>2239</v>
      </c>
      <c r="C447" s="25" t="s">
        <v>28</v>
      </c>
      <c r="D447" s="26">
        <v>4896</v>
      </c>
      <c r="E447" s="18" t="s">
        <v>29</v>
      </c>
      <c r="F447" s="181">
        <v>6885.74</v>
      </c>
      <c r="G447" s="131">
        <f>(F447*1.1)*$E$27</f>
        <v>90891.768000000011</v>
      </c>
      <c r="H447" s="106">
        <f>G447*(1+$G$9)*(1+$G$11)*(1+$G$16)</f>
        <v>94154.782471200015</v>
      </c>
      <c r="I447" s="19" t="s">
        <v>76</v>
      </c>
      <c r="J447" s="3"/>
      <c r="K447" s="17"/>
    </row>
    <row r="448" spans="1:26" ht="15" customHeight="1" x14ac:dyDescent="0.2">
      <c r="A448" s="18" t="s">
        <v>74</v>
      </c>
      <c r="B448" s="24">
        <v>2239</v>
      </c>
      <c r="C448" s="18" t="s">
        <v>18</v>
      </c>
      <c r="D448" s="20">
        <v>4895</v>
      </c>
      <c r="E448" s="18" t="s">
        <v>19</v>
      </c>
      <c r="F448" s="181"/>
      <c r="G448" s="131">
        <f>(F448)*$G$27</f>
        <v>0</v>
      </c>
      <c r="H448" s="106">
        <f>G448*(1+$G$9)*(1+$G$11)*(1+$G$16)</f>
        <v>0</v>
      </c>
      <c r="I448" s="19" t="s">
        <v>76</v>
      </c>
      <c r="J448" s="3"/>
      <c r="K448" s="17"/>
    </row>
    <row r="449" spans="1:26" ht="15" customHeight="1" x14ac:dyDescent="0.2">
      <c r="A449" s="18" t="s">
        <v>74</v>
      </c>
      <c r="B449" s="24">
        <v>2239</v>
      </c>
      <c r="C449" s="25" t="s">
        <v>30</v>
      </c>
      <c r="D449" s="26">
        <v>4891</v>
      </c>
      <c r="E449" s="18" t="s">
        <v>31</v>
      </c>
      <c r="F449" s="181"/>
      <c r="G449" s="131"/>
      <c r="H449" s="106">
        <f>G449*(1+$G$9)*(1+$G$11)*(1+$G$16)</f>
        <v>0</v>
      </c>
      <c r="I449" s="19" t="s">
        <v>76</v>
      </c>
      <c r="J449" s="3"/>
      <c r="K449" s="4"/>
      <c r="L449" s="84"/>
      <c r="M449" s="5"/>
      <c r="N449" s="29"/>
      <c r="R449" s="5"/>
      <c r="S449" s="5"/>
      <c r="T449" s="5"/>
      <c r="U449" s="5"/>
      <c r="V449" s="5"/>
      <c r="W449" s="5"/>
      <c r="X449" s="5"/>
      <c r="Y449" s="5"/>
      <c r="Z449" s="30"/>
    </row>
    <row r="450" spans="1:26" ht="15" customHeight="1" x14ac:dyDescent="0.2">
      <c r="A450" s="111"/>
      <c r="B450" s="112"/>
      <c r="C450" s="113"/>
      <c r="D450" s="114"/>
      <c r="E450" s="111"/>
      <c r="F450" s="180">
        <f>SUM(F438:F449)</f>
        <v>229493.46</v>
      </c>
      <c r="G450" s="123">
        <f>SUM(G438:G449)</f>
        <v>3114316.3119999999</v>
      </c>
      <c r="H450" s="123">
        <f>SUM(H446:H449)</f>
        <v>3347836.322560091</v>
      </c>
      <c r="I450" s="19"/>
      <c r="J450" s="3"/>
      <c r="K450" s="17"/>
    </row>
    <row r="451" spans="1:26" ht="15" customHeight="1" x14ac:dyDescent="0.2">
      <c r="A451" s="18" t="s">
        <v>74</v>
      </c>
      <c r="B451" s="24" t="s">
        <v>79</v>
      </c>
      <c r="C451" s="25" t="s">
        <v>61</v>
      </c>
      <c r="D451" s="26">
        <v>4912</v>
      </c>
      <c r="E451" s="18" t="s">
        <v>75</v>
      </c>
      <c r="F451" s="181"/>
      <c r="G451" s="131">
        <f t="shared" ref="G451:G458" si="35">(F451)*$G$27</f>
        <v>0</v>
      </c>
      <c r="H451" s="106">
        <f t="shared" ref="H451:H456" si="36">G451*(1+$G$9)*(1+$G$11)*(1+$G$16)</f>
        <v>0</v>
      </c>
      <c r="I451" s="19" t="s">
        <v>76</v>
      </c>
      <c r="J451" s="3"/>
      <c r="K451" s="17"/>
    </row>
    <row r="452" spans="1:26" ht="15" customHeight="1" x14ac:dyDescent="0.2">
      <c r="A452" s="18" t="s">
        <v>74</v>
      </c>
      <c r="B452" s="24">
        <v>2151</v>
      </c>
      <c r="C452" s="25" t="s">
        <v>16</v>
      </c>
      <c r="D452" s="26">
        <v>4914</v>
      </c>
      <c r="E452" s="18" t="s">
        <v>17</v>
      </c>
      <c r="F452" s="181"/>
      <c r="G452" s="131">
        <f t="shared" si="35"/>
        <v>0</v>
      </c>
      <c r="H452" s="106">
        <f t="shared" si="36"/>
        <v>0</v>
      </c>
      <c r="I452" s="19">
        <v>4502</v>
      </c>
      <c r="J452" s="3"/>
      <c r="K452" s="17"/>
    </row>
    <row r="453" spans="1:26" ht="15" customHeight="1" x14ac:dyDescent="0.2">
      <c r="A453" s="18" t="s">
        <v>74</v>
      </c>
      <c r="B453" s="24">
        <v>2151</v>
      </c>
      <c r="C453" s="25" t="s">
        <v>16</v>
      </c>
      <c r="D453" s="26">
        <v>4913</v>
      </c>
      <c r="E453" s="18" t="s">
        <v>17</v>
      </c>
      <c r="F453" s="181">
        <v>22156.23</v>
      </c>
      <c r="G453" s="131">
        <f t="shared" si="35"/>
        <v>301324.728</v>
      </c>
      <c r="H453" s="106">
        <f t="shared" si="36"/>
        <v>312142.28573520004</v>
      </c>
      <c r="I453" s="19" t="s">
        <v>76</v>
      </c>
      <c r="J453" s="3"/>
      <c r="K453" s="17"/>
    </row>
    <row r="454" spans="1:26" ht="15" customHeight="1" x14ac:dyDescent="0.2">
      <c r="A454" s="18" t="s">
        <v>74</v>
      </c>
      <c r="B454" s="24">
        <v>2151</v>
      </c>
      <c r="C454" s="25" t="s">
        <v>48</v>
      </c>
      <c r="D454" s="26">
        <v>4915</v>
      </c>
      <c r="E454" s="18" t="s">
        <v>77</v>
      </c>
      <c r="F454" s="181"/>
      <c r="G454" s="131">
        <f t="shared" si="35"/>
        <v>0</v>
      </c>
      <c r="H454" s="106">
        <f t="shared" si="36"/>
        <v>0</v>
      </c>
      <c r="I454" s="19" t="s">
        <v>76</v>
      </c>
      <c r="J454" s="3"/>
      <c r="K454" s="17"/>
    </row>
    <row r="455" spans="1:26" ht="15" customHeight="1" x14ac:dyDescent="0.2">
      <c r="A455" s="18" t="s">
        <v>74</v>
      </c>
      <c r="B455" s="24">
        <v>2151</v>
      </c>
      <c r="C455" s="25" t="s">
        <v>35</v>
      </c>
      <c r="D455" s="26">
        <v>4916</v>
      </c>
      <c r="E455" s="18" t="s">
        <v>26</v>
      </c>
      <c r="F455" s="181"/>
      <c r="G455" s="131">
        <f t="shared" si="35"/>
        <v>0</v>
      </c>
      <c r="H455" s="106">
        <f t="shared" si="36"/>
        <v>0</v>
      </c>
      <c r="I455" s="19" t="s">
        <v>76</v>
      </c>
      <c r="J455" s="3"/>
      <c r="K455" s="17"/>
    </row>
    <row r="456" spans="1:26" ht="15" customHeight="1" x14ac:dyDescent="0.2">
      <c r="A456" s="18" t="s">
        <v>74</v>
      </c>
      <c r="B456" s="24">
        <v>2151</v>
      </c>
      <c r="C456" s="18" t="s">
        <v>172</v>
      </c>
      <c r="D456" s="20">
        <v>4906</v>
      </c>
      <c r="E456" s="18" t="s">
        <v>19</v>
      </c>
      <c r="F456" s="181">
        <f>43099.66/4-F457</f>
        <v>4064.7450000000008</v>
      </c>
      <c r="G456" s="131">
        <f t="shared" si="35"/>
        <v>55280.532000000007</v>
      </c>
      <c r="H456" s="106">
        <f t="shared" si="36"/>
        <v>57265.103098800006</v>
      </c>
      <c r="I456" s="19" t="s">
        <v>76</v>
      </c>
      <c r="J456" s="3"/>
      <c r="K456" s="17"/>
    </row>
    <row r="457" spans="1:26" ht="15" customHeight="1" x14ac:dyDescent="0.2">
      <c r="A457" s="18" t="s">
        <v>74</v>
      </c>
      <c r="B457" s="24">
        <v>2151</v>
      </c>
      <c r="C457" s="18" t="s">
        <v>173</v>
      </c>
      <c r="D457" s="20">
        <v>4906</v>
      </c>
      <c r="E457" s="18" t="s">
        <v>174</v>
      </c>
      <c r="F457" s="181">
        <f>26840.68/4</f>
        <v>6710.17</v>
      </c>
      <c r="G457" s="131">
        <f t="shared" si="35"/>
        <v>91258.312000000005</v>
      </c>
      <c r="H457" s="106">
        <f>(G457/G$26*H$26)*(1+$G$9)*(1+$G$11)*(1+$G$16)</f>
        <v>114587.25503127274</v>
      </c>
      <c r="I457" s="19" t="s">
        <v>76</v>
      </c>
      <c r="J457" s="3"/>
      <c r="K457" s="17"/>
    </row>
    <row r="458" spans="1:26" ht="15" customHeight="1" x14ac:dyDescent="0.2">
      <c r="A458" s="18" t="s">
        <v>74</v>
      </c>
      <c r="B458" s="24">
        <v>2151</v>
      </c>
      <c r="C458" s="25" t="s">
        <v>143</v>
      </c>
      <c r="D458" s="26">
        <v>8948</v>
      </c>
      <c r="E458" s="18" t="s">
        <v>14</v>
      </c>
      <c r="F458" s="179">
        <v>0</v>
      </c>
      <c r="G458" s="131">
        <f t="shared" si="35"/>
        <v>0</v>
      </c>
      <c r="H458" s="106">
        <f>G458*(1+$G$9)*(1+$G$11)*(1+$G$16)</f>
        <v>0</v>
      </c>
      <c r="I458" s="19" t="s">
        <v>76</v>
      </c>
      <c r="J458" s="3"/>
      <c r="K458" s="17"/>
    </row>
    <row r="459" spans="1:26" ht="15" customHeight="1" x14ac:dyDescent="0.2">
      <c r="A459" s="18" t="s">
        <v>74</v>
      </c>
      <c r="B459" s="24">
        <v>2151</v>
      </c>
      <c r="C459" s="25" t="s">
        <v>144</v>
      </c>
      <c r="D459" s="26">
        <v>9145</v>
      </c>
      <c r="E459" s="18" t="s">
        <v>14</v>
      </c>
      <c r="F459" s="179">
        <v>843.37</v>
      </c>
      <c r="G459" s="131">
        <f>(F459)*$I$27</f>
        <v>10120.44</v>
      </c>
      <c r="H459" s="106">
        <f>G459*(1+$G$9)*(1+$G$11)*(1+$G$16)</f>
        <v>10483.763796000001</v>
      </c>
      <c r="I459" s="19" t="s">
        <v>76</v>
      </c>
      <c r="J459" s="3"/>
      <c r="K459" s="4"/>
      <c r="L459" s="84"/>
      <c r="M459" s="5"/>
      <c r="N459" s="29"/>
      <c r="R459" s="5"/>
      <c r="S459" s="5"/>
      <c r="T459" s="5"/>
      <c r="U459" s="5"/>
      <c r="V459" s="5"/>
      <c r="W459" s="5"/>
      <c r="X459" s="5"/>
      <c r="Y459" s="5"/>
      <c r="Z459" s="30"/>
    </row>
    <row r="460" spans="1:26" ht="15" customHeight="1" x14ac:dyDescent="0.2">
      <c r="A460" s="18"/>
      <c r="B460" s="24"/>
      <c r="C460" s="25"/>
      <c r="D460" s="26"/>
      <c r="E460" s="18"/>
      <c r="F460" s="179"/>
      <c r="G460" s="131"/>
      <c r="H460" s="106">
        <f>SUM(H451:H459)</f>
        <v>494478.40766127274</v>
      </c>
      <c r="I460" s="19"/>
      <c r="J460" s="3"/>
      <c r="K460" s="4"/>
      <c r="L460" s="84"/>
      <c r="M460" s="5"/>
      <c r="N460" s="29"/>
      <c r="R460" s="5"/>
      <c r="S460" s="5"/>
      <c r="T460" s="5"/>
      <c r="U460" s="5"/>
      <c r="V460" s="5"/>
      <c r="W460" s="5"/>
      <c r="X460" s="5"/>
      <c r="Y460" s="5"/>
      <c r="Z460" s="30"/>
    </row>
    <row r="461" spans="1:26" ht="15" customHeight="1" x14ac:dyDescent="0.2">
      <c r="A461" s="18" t="s">
        <v>74</v>
      </c>
      <c r="B461" s="24">
        <v>2151</v>
      </c>
      <c r="C461" s="25" t="s">
        <v>28</v>
      </c>
      <c r="D461" s="26">
        <v>4897</v>
      </c>
      <c r="E461" s="18" t="s">
        <v>29</v>
      </c>
      <c r="F461" s="181">
        <f>3974.14+6560.6</f>
        <v>10534.74</v>
      </c>
      <c r="G461" s="131">
        <f>(F461*1.1)*$E$27</f>
        <v>139058.568</v>
      </c>
      <c r="H461" s="106">
        <f>G461*(1+$G$9)*(1+$G$11)*(1+$G$16)</f>
        <v>144050.77059120001</v>
      </c>
      <c r="I461" s="19" t="s">
        <v>76</v>
      </c>
      <c r="J461" s="3"/>
      <c r="K461" s="17"/>
    </row>
    <row r="462" spans="1:26" ht="15" customHeight="1" x14ac:dyDescent="0.2">
      <c r="A462" s="18" t="s">
        <v>74</v>
      </c>
      <c r="B462" s="24">
        <v>2151</v>
      </c>
      <c r="C462" s="18" t="s">
        <v>18</v>
      </c>
      <c r="D462" s="20">
        <v>4902</v>
      </c>
      <c r="E462" s="18" t="s">
        <v>19</v>
      </c>
      <c r="F462" s="181"/>
      <c r="G462" s="131">
        <f>(F462)*$G$27</f>
        <v>0</v>
      </c>
      <c r="H462" s="106">
        <f>G462*(1+$G$9)*(1+$G$11)*(1+$G$16)</f>
        <v>0</v>
      </c>
      <c r="I462" s="19" t="s">
        <v>76</v>
      </c>
      <c r="J462" s="3"/>
      <c r="K462" s="17"/>
    </row>
    <row r="463" spans="1:26" ht="15" customHeight="1" x14ac:dyDescent="0.2">
      <c r="A463" s="18" t="s">
        <v>74</v>
      </c>
      <c r="B463" s="24">
        <v>2151</v>
      </c>
      <c r="C463" s="25" t="s">
        <v>30</v>
      </c>
      <c r="D463" s="26">
        <v>4909</v>
      </c>
      <c r="E463" s="18" t="s">
        <v>31</v>
      </c>
      <c r="F463" s="181"/>
      <c r="G463" s="131"/>
      <c r="H463" s="106">
        <f>G463*(1+$G$9)*(1+$G$11)*(1+$G$16)</f>
        <v>0</v>
      </c>
      <c r="I463" s="19" t="s">
        <v>76</v>
      </c>
      <c r="J463" s="3"/>
      <c r="K463" s="4"/>
      <c r="L463" s="84"/>
      <c r="M463" s="5"/>
      <c r="N463" s="29"/>
      <c r="R463" s="5"/>
      <c r="S463" s="5"/>
      <c r="T463" s="5"/>
      <c r="U463" s="5"/>
      <c r="V463" s="5"/>
      <c r="W463" s="5"/>
      <c r="X463" s="5"/>
      <c r="Y463" s="5"/>
      <c r="Z463" s="30"/>
    </row>
    <row r="464" spans="1:26" ht="15" customHeight="1" x14ac:dyDescent="0.2">
      <c r="A464" s="111"/>
      <c r="B464" s="112"/>
      <c r="C464" s="113"/>
      <c r="D464" s="114"/>
      <c r="E464" s="111"/>
      <c r="F464" s="180">
        <f>SUM(F451:F463)</f>
        <v>44309.254999999997</v>
      </c>
      <c r="G464" s="123">
        <f>SUM(G451:G463)</f>
        <v>597042.58000000007</v>
      </c>
      <c r="H464" s="123">
        <f>SUM(H460:H463)</f>
        <v>638529.17825247278</v>
      </c>
      <c r="I464" s="19"/>
      <c r="J464" s="3"/>
      <c r="K464" s="17"/>
    </row>
    <row r="465" spans="1:26" ht="15" customHeight="1" x14ac:dyDescent="0.2">
      <c r="A465" s="18" t="s">
        <v>74</v>
      </c>
      <c r="B465" s="24" t="s">
        <v>80</v>
      </c>
      <c r="C465" s="25" t="s">
        <v>61</v>
      </c>
      <c r="D465" s="26">
        <v>4918</v>
      </c>
      <c r="E465" s="18" t="s">
        <v>75</v>
      </c>
      <c r="F465" s="181">
        <f>2658.3+544.96</f>
        <v>3203.26</v>
      </c>
      <c r="G465" s="131">
        <f t="shared" ref="G465:G472" si="37">(F465)*$G$27</f>
        <v>43564.336000000003</v>
      </c>
      <c r="H465" s="106">
        <f t="shared" ref="H465:H470" si="38">G465*(1+$G$9)*(1+$G$11)*(1+$G$16)</f>
        <v>45128.295662400007</v>
      </c>
      <c r="I465" s="19" t="s">
        <v>76</v>
      </c>
      <c r="J465" s="3"/>
      <c r="K465" s="17"/>
    </row>
    <row r="466" spans="1:26" ht="15" customHeight="1" x14ac:dyDescent="0.2">
      <c r="A466" s="18" t="s">
        <v>74</v>
      </c>
      <c r="B466" s="24">
        <v>2148</v>
      </c>
      <c r="C466" s="25" t="s">
        <v>16</v>
      </c>
      <c r="D466" s="26">
        <v>4921</v>
      </c>
      <c r="E466" s="18" t="s">
        <v>17</v>
      </c>
      <c r="F466" s="181"/>
      <c r="G466" s="131">
        <f t="shared" si="37"/>
        <v>0</v>
      </c>
      <c r="H466" s="106">
        <f t="shared" si="38"/>
        <v>0</v>
      </c>
      <c r="I466" s="19">
        <v>4502</v>
      </c>
      <c r="J466" s="3"/>
      <c r="K466" s="17"/>
    </row>
    <row r="467" spans="1:26" ht="15" customHeight="1" x14ac:dyDescent="0.2">
      <c r="A467" s="18" t="s">
        <v>74</v>
      </c>
      <c r="B467" s="24">
        <v>2148</v>
      </c>
      <c r="C467" s="25" t="s">
        <v>16</v>
      </c>
      <c r="D467" s="26">
        <v>4919</v>
      </c>
      <c r="E467" s="18" t="s">
        <v>17</v>
      </c>
      <c r="F467" s="181">
        <v>2739.32</v>
      </c>
      <c r="G467" s="131">
        <f t="shared" si="37"/>
        <v>37254.752</v>
      </c>
      <c r="H467" s="106">
        <f t="shared" si="38"/>
        <v>38592.197596800004</v>
      </c>
      <c r="I467" s="19" t="s">
        <v>76</v>
      </c>
      <c r="J467" s="3"/>
      <c r="K467" s="17"/>
    </row>
    <row r="468" spans="1:26" ht="15" customHeight="1" x14ac:dyDescent="0.2">
      <c r="A468" s="18" t="s">
        <v>74</v>
      </c>
      <c r="B468" s="24">
        <v>2148</v>
      </c>
      <c r="C468" s="25" t="s">
        <v>48</v>
      </c>
      <c r="D468" s="26">
        <v>4920</v>
      </c>
      <c r="E468" s="18" t="s">
        <v>77</v>
      </c>
      <c r="F468" s="181"/>
      <c r="G468" s="131">
        <f t="shared" si="37"/>
        <v>0</v>
      </c>
      <c r="H468" s="106">
        <f t="shared" si="38"/>
        <v>0</v>
      </c>
      <c r="I468" s="19" t="s">
        <v>76</v>
      </c>
      <c r="J468" s="3"/>
      <c r="K468" s="17"/>
    </row>
    <row r="469" spans="1:26" ht="15" customHeight="1" x14ac:dyDescent="0.2">
      <c r="A469" s="18" t="s">
        <v>74</v>
      </c>
      <c r="B469" s="24">
        <v>2148</v>
      </c>
      <c r="C469" s="25" t="s">
        <v>35</v>
      </c>
      <c r="D469" s="26">
        <v>4917</v>
      </c>
      <c r="E469" s="18" t="s">
        <v>26</v>
      </c>
      <c r="F469" s="181"/>
      <c r="G469" s="131">
        <f t="shared" si="37"/>
        <v>0</v>
      </c>
      <c r="H469" s="106">
        <f t="shared" si="38"/>
        <v>0</v>
      </c>
      <c r="I469" s="19" t="s">
        <v>76</v>
      </c>
      <c r="J469" s="3"/>
      <c r="K469" s="17"/>
    </row>
    <row r="470" spans="1:26" ht="15" customHeight="1" x14ac:dyDescent="0.2">
      <c r="A470" s="18" t="s">
        <v>74</v>
      </c>
      <c r="B470" s="24">
        <v>2148</v>
      </c>
      <c r="C470" s="18" t="s">
        <v>172</v>
      </c>
      <c r="D470" s="20">
        <v>4907</v>
      </c>
      <c r="E470" s="18" t="s">
        <v>19</v>
      </c>
      <c r="F470" s="181">
        <f>5286/4-F471</f>
        <v>498.52499999999998</v>
      </c>
      <c r="G470" s="131">
        <f t="shared" si="37"/>
        <v>6779.94</v>
      </c>
      <c r="H470" s="106">
        <f t="shared" si="38"/>
        <v>7023.3398459999999</v>
      </c>
      <c r="I470" s="19" t="s">
        <v>76</v>
      </c>
      <c r="J470" s="3"/>
      <c r="K470" s="17"/>
    </row>
    <row r="471" spans="1:26" ht="15" customHeight="1" x14ac:dyDescent="0.2">
      <c r="A471" s="18" t="s">
        <v>74</v>
      </c>
      <c r="B471" s="24">
        <v>2148</v>
      </c>
      <c r="C471" s="18" t="s">
        <v>173</v>
      </c>
      <c r="D471" s="20">
        <v>4907</v>
      </c>
      <c r="E471" s="18" t="s">
        <v>174</v>
      </c>
      <c r="F471" s="181">
        <f>3291.9/4</f>
        <v>822.97500000000002</v>
      </c>
      <c r="G471" s="131">
        <f t="shared" si="37"/>
        <v>11192.46</v>
      </c>
      <c r="H471" s="106">
        <f>(G471/G$26*H$26)*(1+$G$9)*(1+$G$11)*(1+$G$16)</f>
        <v>14053.659774545453</v>
      </c>
      <c r="I471" s="19" t="s">
        <v>76</v>
      </c>
      <c r="J471" s="3"/>
      <c r="K471" s="17"/>
    </row>
    <row r="472" spans="1:26" ht="15" customHeight="1" x14ac:dyDescent="0.2">
      <c r="A472" s="18" t="s">
        <v>74</v>
      </c>
      <c r="B472" s="24">
        <v>2148</v>
      </c>
      <c r="C472" s="25" t="s">
        <v>143</v>
      </c>
      <c r="D472" s="26">
        <v>8949</v>
      </c>
      <c r="E472" s="18" t="s">
        <v>14</v>
      </c>
      <c r="F472" s="179"/>
      <c r="G472" s="131">
        <f t="shared" si="37"/>
        <v>0</v>
      </c>
      <c r="H472" s="106">
        <f>G472*(1+$G$9)*(1+$G$11)*(1+$G$16)</f>
        <v>0</v>
      </c>
      <c r="I472" s="19" t="s">
        <v>76</v>
      </c>
      <c r="J472" s="3"/>
      <c r="K472" s="17"/>
    </row>
    <row r="473" spans="1:26" ht="15" customHeight="1" x14ac:dyDescent="0.2">
      <c r="A473" s="18" t="s">
        <v>74</v>
      </c>
      <c r="B473" s="24">
        <v>2148</v>
      </c>
      <c r="C473" s="25" t="s">
        <v>144</v>
      </c>
      <c r="D473" s="26">
        <v>9146</v>
      </c>
      <c r="E473" s="18" t="s">
        <v>14</v>
      </c>
      <c r="F473" s="179"/>
      <c r="G473" s="131">
        <f>(F473)*$I$27</f>
        <v>0</v>
      </c>
      <c r="H473" s="106">
        <f>G473*(1+$G$9)*(1+$G$11)*(1+$G$16)</f>
        <v>0</v>
      </c>
      <c r="I473" s="19" t="s">
        <v>76</v>
      </c>
      <c r="J473" s="3"/>
      <c r="K473" s="4"/>
      <c r="L473" s="84"/>
      <c r="M473" s="5"/>
      <c r="N473" s="29"/>
      <c r="R473" s="5"/>
      <c r="S473" s="5"/>
      <c r="T473" s="5"/>
      <c r="U473" s="5"/>
      <c r="V473" s="5"/>
      <c r="W473" s="5"/>
      <c r="X473" s="5"/>
      <c r="Y473" s="5"/>
      <c r="Z473" s="30"/>
    </row>
    <row r="474" spans="1:26" ht="15" customHeight="1" x14ac:dyDescent="0.2">
      <c r="A474" s="18"/>
      <c r="B474" s="24"/>
      <c r="C474" s="25"/>
      <c r="D474" s="26"/>
      <c r="E474" s="18"/>
      <c r="F474" s="179"/>
      <c r="G474" s="131"/>
      <c r="H474" s="106">
        <f>SUM(H465:H473)</f>
        <v>104797.49287974546</v>
      </c>
      <c r="I474" s="19"/>
      <c r="J474" s="3"/>
      <c r="K474" s="4"/>
      <c r="L474" s="84"/>
      <c r="M474" s="5"/>
      <c r="N474" s="29"/>
      <c r="R474" s="5"/>
      <c r="S474" s="5"/>
      <c r="T474" s="5"/>
      <c r="U474" s="5"/>
      <c r="V474" s="5"/>
      <c r="W474" s="5"/>
      <c r="X474" s="5"/>
      <c r="Y474" s="5"/>
      <c r="Z474" s="30"/>
    </row>
    <row r="475" spans="1:26" ht="15" customHeight="1" x14ac:dyDescent="0.2">
      <c r="A475" s="18" t="s">
        <v>74</v>
      </c>
      <c r="B475" s="24">
        <v>2148</v>
      </c>
      <c r="C475" s="25" t="s">
        <v>28</v>
      </c>
      <c r="D475" s="26">
        <v>4898</v>
      </c>
      <c r="E475" s="18" t="s">
        <v>29</v>
      </c>
      <c r="F475" s="181">
        <v>299.38</v>
      </c>
      <c r="G475" s="131">
        <f>(F475*1.1)*$E$27</f>
        <v>3951.8160000000007</v>
      </c>
      <c r="H475" s="106">
        <f>G475*(1+$G$9)*(1+$G$11)*(1+$G$16)</f>
        <v>4093.6861944000011</v>
      </c>
      <c r="I475" s="19" t="s">
        <v>76</v>
      </c>
      <c r="J475" s="3"/>
      <c r="K475" s="17"/>
    </row>
    <row r="476" spans="1:26" ht="15" customHeight="1" x14ac:dyDescent="0.2">
      <c r="A476" s="18" t="s">
        <v>74</v>
      </c>
      <c r="B476" s="24">
        <v>2148</v>
      </c>
      <c r="C476" s="18" t="s">
        <v>18</v>
      </c>
      <c r="D476" s="20">
        <v>4901</v>
      </c>
      <c r="E476" s="18" t="s">
        <v>19</v>
      </c>
      <c r="F476" s="181"/>
      <c r="G476" s="131">
        <f>(F476)*$G$27</f>
        <v>0</v>
      </c>
      <c r="H476" s="106">
        <f>G476*(1+$G$9)*(1+$G$11)*(1+$G$16)</f>
        <v>0</v>
      </c>
      <c r="I476" s="19" t="s">
        <v>76</v>
      </c>
      <c r="J476" s="3"/>
      <c r="K476" s="17"/>
    </row>
    <row r="477" spans="1:26" ht="15" customHeight="1" x14ac:dyDescent="0.2">
      <c r="A477" s="18" t="s">
        <v>74</v>
      </c>
      <c r="B477" s="24">
        <v>2148</v>
      </c>
      <c r="C477" s="25" t="s">
        <v>30</v>
      </c>
      <c r="D477" s="26">
        <v>4910</v>
      </c>
      <c r="E477" s="18" t="s">
        <v>31</v>
      </c>
      <c r="F477" s="181"/>
      <c r="G477" s="131"/>
      <c r="H477" s="106">
        <f>G477*(1+$G$9)*(1+$G$11)*(1+$G$16)</f>
        <v>0</v>
      </c>
      <c r="I477" s="19" t="s">
        <v>76</v>
      </c>
      <c r="J477" s="3"/>
      <c r="K477" s="4"/>
      <c r="L477" s="84"/>
      <c r="M477" s="5"/>
      <c r="N477" s="29"/>
      <c r="R477" s="5"/>
      <c r="S477" s="5"/>
      <c r="T477" s="5"/>
      <c r="U477" s="5"/>
      <c r="V477" s="5"/>
      <c r="W477" s="5"/>
      <c r="X477" s="5"/>
      <c r="Y477" s="5"/>
      <c r="Z477" s="30"/>
    </row>
    <row r="478" spans="1:26" ht="15" customHeight="1" x14ac:dyDescent="0.2">
      <c r="A478" s="111"/>
      <c r="B478" s="112"/>
      <c r="C478" s="113"/>
      <c r="D478" s="114"/>
      <c r="E478" s="111"/>
      <c r="F478" s="180">
        <f>SUM(F465:F477)</f>
        <v>7563.46</v>
      </c>
      <c r="G478" s="123">
        <f>SUM(G465:G477)</f>
        <v>102743.30400000002</v>
      </c>
      <c r="H478" s="123">
        <f>SUM(H474:H477)</f>
        <v>108891.17907414546</v>
      </c>
      <c r="I478" s="19"/>
      <c r="J478" s="3"/>
      <c r="K478" s="17"/>
    </row>
    <row r="479" spans="1:26" ht="15" customHeight="1" x14ac:dyDescent="0.2">
      <c r="A479" s="18" t="s">
        <v>74</v>
      </c>
      <c r="B479" s="24" t="s">
        <v>81</v>
      </c>
      <c r="C479" s="25" t="s">
        <v>61</v>
      </c>
      <c r="D479" s="26">
        <v>4922</v>
      </c>
      <c r="E479" s="18" t="s">
        <v>75</v>
      </c>
      <c r="F479" s="181"/>
      <c r="G479" s="131">
        <f t="shared" ref="G479:G485" si="39">(F479)*$G$27</f>
        <v>0</v>
      </c>
      <c r="H479" s="106">
        <f>G479*(1+$G$9)*(1+$G$11)*(1+$G$16)</f>
        <v>0</v>
      </c>
      <c r="I479" s="19" t="s">
        <v>76</v>
      </c>
      <c r="J479" s="3"/>
      <c r="K479" s="17"/>
    </row>
    <row r="480" spans="1:26" ht="15" customHeight="1" x14ac:dyDescent="0.2">
      <c r="A480" s="18" t="s">
        <v>74</v>
      </c>
      <c r="B480" s="24">
        <v>2144</v>
      </c>
      <c r="C480" s="25" t="s">
        <v>16</v>
      </c>
      <c r="D480" s="26">
        <v>4923</v>
      </c>
      <c r="E480" s="18" t="s">
        <v>17</v>
      </c>
      <c r="F480" s="181">
        <f>15832.42-1993.3</f>
        <v>13839.12</v>
      </c>
      <c r="G480" s="131">
        <f t="shared" si="39"/>
        <v>188212.03200000001</v>
      </c>
      <c r="H480" s="106">
        <f>G480*(1+$G$9)*(1+$G$11)*(1+$G$16)</f>
        <v>194968.8439488</v>
      </c>
      <c r="I480" s="19" t="s">
        <v>76</v>
      </c>
      <c r="J480" s="3"/>
      <c r="K480" s="17"/>
    </row>
    <row r="481" spans="1:26" ht="15" customHeight="1" x14ac:dyDescent="0.2">
      <c r="A481" s="18" t="s">
        <v>74</v>
      </c>
      <c r="B481" s="24">
        <v>2144</v>
      </c>
      <c r="C481" s="25" t="s">
        <v>48</v>
      </c>
      <c r="D481" s="26">
        <v>4924</v>
      </c>
      <c r="E481" s="18" t="s">
        <v>77</v>
      </c>
      <c r="F481" s="181"/>
      <c r="G481" s="131">
        <f t="shared" si="39"/>
        <v>0</v>
      </c>
      <c r="H481" s="106">
        <f>G481*(1+$G$9)*(1+$G$11)*(1+$G$16)</f>
        <v>0</v>
      </c>
      <c r="I481" s="19" t="s">
        <v>76</v>
      </c>
      <c r="J481" s="3"/>
      <c r="K481" s="17"/>
    </row>
    <row r="482" spans="1:26" ht="15" customHeight="1" x14ac:dyDescent="0.2">
      <c r="A482" s="18" t="s">
        <v>74</v>
      </c>
      <c r="B482" s="24">
        <v>2144</v>
      </c>
      <c r="C482" s="25" t="s">
        <v>35</v>
      </c>
      <c r="D482" s="26">
        <v>4925</v>
      </c>
      <c r="E482" s="18" t="s">
        <v>26</v>
      </c>
      <c r="F482" s="181"/>
      <c r="G482" s="131">
        <f t="shared" si="39"/>
        <v>0</v>
      </c>
      <c r="H482" s="106">
        <f>G482*(1+$G$9)*(1+$G$11)*(1+$G$16)</f>
        <v>0</v>
      </c>
      <c r="I482" s="19" t="s">
        <v>76</v>
      </c>
      <c r="J482" s="3"/>
      <c r="K482" s="17"/>
    </row>
    <row r="483" spans="1:26" ht="15" customHeight="1" x14ac:dyDescent="0.2">
      <c r="A483" s="18" t="s">
        <v>74</v>
      </c>
      <c r="B483" s="24">
        <v>2144</v>
      </c>
      <c r="C483" s="18" t="s">
        <v>172</v>
      </c>
      <c r="D483" s="20">
        <v>4908</v>
      </c>
      <c r="E483" s="18" t="s">
        <v>19</v>
      </c>
      <c r="F483" s="181">
        <f>24398.86/4-F484</f>
        <v>2301.0700000000002</v>
      </c>
      <c r="G483" s="131">
        <f t="shared" si="39"/>
        <v>31294.552</v>
      </c>
      <c r="H483" s="106">
        <f>G483*(1+$G$9)*(1+$G$11)*(1+$G$16)</f>
        <v>32418.026416799999</v>
      </c>
      <c r="I483" s="19" t="s">
        <v>76</v>
      </c>
      <c r="J483" s="3"/>
      <c r="K483" s="17"/>
    </row>
    <row r="484" spans="1:26" ht="15" customHeight="1" x14ac:dyDescent="0.2">
      <c r="A484" s="18" t="s">
        <v>74</v>
      </c>
      <c r="B484" s="24">
        <v>2144</v>
      </c>
      <c r="C484" s="18" t="s">
        <v>173</v>
      </c>
      <c r="D484" s="20">
        <v>4908</v>
      </c>
      <c r="E484" s="18" t="s">
        <v>174</v>
      </c>
      <c r="F484" s="181">
        <f>15194.58/4</f>
        <v>3798.645</v>
      </c>
      <c r="G484" s="131">
        <f t="shared" si="39"/>
        <v>51661.572</v>
      </c>
      <c r="H484" s="106">
        <f>(G484/G$26*H$26)*(1+$G$9)*(1+$G$11)*(1+$G$16)</f>
        <v>64868.148405818181</v>
      </c>
      <c r="I484" s="19" t="s">
        <v>76</v>
      </c>
      <c r="J484" s="3"/>
      <c r="K484" s="17"/>
    </row>
    <row r="485" spans="1:26" ht="15" customHeight="1" x14ac:dyDescent="0.2">
      <c r="A485" s="18" t="s">
        <v>74</v>
      </c>
      <c r="B485" s="24">
        <v>2144</v>
      </c>
      <c r="C485" s="25" t="s">
        <v>143</v>
      </c>
      <c r="D485" s="26">
        <v>8950</v>
      </c>
      <c r="E485" s="18" t="s">
        <v>14</v>
      </c>
      <c r="F485" s="179"/>
      <c r="G485" s="131">
        <f t="shared" si="39"/>
        <v>0</v>
      </c>
      <c r="H485" s="106">
        <f>G485*(1+$G$9)*(1+$G$11)*(1+$G$16)</f>
        <v>0</v>
      </c>
      <c r="I485" s="19" t="s">
        <v>76</v>
      </c>
      <c r="J485" s="3"/>
      <c r="K485" s="17"/>
    </row>
    <row r="486" spans="1:26" ht="15" customHeight="1" x14ac:dyDescent="0.2">
      <c r="A486" s="18" t="s">
        <v>74</v>
      </c>
      <c r="B486" s="24">
        <v>2144</v>
      </c>
      <c r="C486" s="25" t="s">
        <v>144</v>
      </c>
      <c r="D486" s="26">
        <v>9147</v>
      </c>
      <c r="E486" s="18" t="s">
        <v>14</v>
      </c>
      <c r="F486" s="179">
        <v>212.36</v>
      </c>
      <c r="G486" s="131">
        <f>(F486)*$I$27</f>
        <v>2548.3200000000002</v>
      </c>
      <c r="H486" s="106">
        <f>G486*(1+$G$9)*(1+$G$11)*(1+$G$16)</f>
        <v>2639.8046880000002</v>
      </c>
      <c r="I486" s="19" t="s">
        <v>76</v>
      </c>
      <c r="J486" s="3"/>
      <c r="K486" s="4"/>
      <c r="L486" s="84"/>
      <c r="M486" s="5"/>
      <c r="N486" s="29"/>
      <c r="R486" s="5"/>
      <c r="S486" s="5"/>
      <c r="T486" s="5"/>
      <c r="U486" s="5"/>
      <c r="V486" s="5"/>
      <c r="W486" s="5"/>
      <c r="X486" s="5"/>
      <c r="Y486" s="5"/>
      <c r="Z486" s="30"/>
    </row>
    <row r="487" spans="1:26" ht="15" customHeight="1" x14ac:dyDescent="0.2">
      <c r="A487" s="18"/>
      <c r="B487" s="24"/>
      <c r="C487" s="25"/>
      <c r="D487" s="26"/>
      <c r="E487" s="18"/>
      <c r="F487" s="179"/>
      <c r="G487" s="131"/>
      <c r="H487" s="106">
        <f>SUM(H479:H486)</f>
        <v>294894.82345941814</v>
      </c>
      <c r="I487" s="19"/>
      <c r="J487" s="3"/>
      <c r="K487" s="4"/>
      <c r="L487" s="84"/>
      <c r="M487" s="5"/>
      <c r="N487" s="29"/>
      <c r="R487" s="5"/>
      <c r="S487" s="5"/>
      <c r="T487" s="5"/>
      <c r="U487" s="5"/>
      <c r="V487" s="5"/>
      <c r="W487" s="5"/>
      <c r="X487" s="5"/>
      <c r="Y487" s="5"/>
      <c r="Z487" s="30"/>
    </row>
    <row r="488" spans="1:26" ht="15" customHeight="1" x14ac:dyDescent="0.2">
      <c r="A488" s="18" t="s">
        <v>74</v>
      </c>
      <c r="B488" s="24">
        <v>2144</v>
      </c>
      <c r="C488" s="25" t="s">
        <v>28</v>
      </c>
      <c r="D488" s="26">
        <v>4899</v>
      </c>
      <c r="E488" s="18" t="s">
        <v>29</v>
      </c>
      <c r="F488" s="181">
        <v>1197.52</v>
      </c>
      <c r="G488" s="131">
        <f>(F488*1.1)*$E$27</f>
        <v>15807.264000000003</v>
      </c>
      <c r="H488" s="106">
        <f>G488*(1+$G$9)*(1+$G$11)*(1+$G$16)</f>
        <v>16374.744777600004</v>
      </c>
      <c r="I488" s="19" t="s">
        <v>76</v>
      </c>
      <c r="J488" s="3"/>
      <c r="K488" s="17"/>
    </row>
    <row r="489" spans="1:26" ht="15" customHeight="1" x14ac:dyDescent="0.2">
      <c r="A489" s="18" t="s">
        <v>74</v>
      </c>
      <c r="B489" s="24">
        <v>2144</v>
      </c>
      <c r="C489" s="18" t="s">
        <v>18</v>
      </c>
      <c r="D489" s="20">
        <v>4900</v>
      </c>
      <c r="E489" s="18" t="s">
        <v>19</v>
      </c>
      <c r="F489" s="181"/>
      <c r="G489" s="131">
        <f>(F489)*$G$27</f>
        <v>0</v>
      </c>
      <c r="H489" s="106">
        <f>G489*(1+$G$9)*(1+$G$11)*(1+$G$16)</f>
        <v>0</v>
      </c>
      <c r="I489" s="19" t="s">
        <v>76</v>
      </c>
      <c r="J489" s="3"/>
      <c r="K489" s="17"/>
    </row>
    <row r="490" spans="1:26" ht="15" customHeight="1" x14ac:dyDescent="0.2">
      <c r="A490" s="18" t="s">
        <v>74</v>
      </c>
      <c r="B490" s="24">
        <v>2144</v>
      </c>
      <c r="C490" s="25" t="s">
        <v>30</v>
      </c>
      <c r="D490" s="26">
        <v>4911</v>
      </c>
      <c r="E490" s="18" t="s">
        <v>31</v>
      </c>
      <c r="F490" s="181"/>
      <c r="G490" s="131"/>
      <c r="H490" s="106">
        <f>G490*(1+$G$9)*(1+$G$11)*(1+$G$16)</f>
        <v>0</v>
      </c>
      <c r="I490" s="19" t="s">
        <v>76</v>
      </c>
      <c r="J490" s="3"/>
      <c r="K490" s="4"/>
      <c r="L490" s="84"/>
      <c r="M490" s="5"/>
      <c r="N490" s="29"/>
      <c r="R490" s="5"/>
      <c r="S490" s="5"/>
      <c r="T490" s="5"/>
      <c r="U490" s="5"/>
      <c r="V490" s="5"/>
      <c r="W490" s="5"/>
      <c r="X490" s="5"/>
      <c r="Y490" s="5"/>
      <c r="Z490" s="30"/>
    </row>
    <row r="491" spans="1:26" ht="15" customHeight="1" x14ac:dyDescent="0.2">
      <c r="A491" s="111"/>
      <c r="B491" s="112"/>
      <c r="C491" s="113"/>
      <c r="D491" s="114"/>
      <c r="E491" s="111"/>
      <c r="F491" s="180">
        <f>SUM(F479:F490)</f>
        <v>21348.715</v>
      </c>
      <c r="G491" s="123">
        <f>SUM(G479:G490)</f>
        <v>289523.74000000005</v>
      </c>
      <c r="H491" s="123">
        <f>SUM(H487:H490)</f>
        <v>311269.56823701813</v>
      </c>
      <c r="I491" s="19"/>
      <c r="J491" s="3"/>
      <c r="K491" s="17"/>
    </row>
    <row r="492" spans="1:26" ht="15" customHeight="1" x14ac:dyDescent="0.2">
      <c r="A492" s="18" t="s">
        <v>74</v>
      </c>
      <c r="B492" s="24">
        <v>2236</v>
      </c>
      <c r="C492" s="25" t="s">
        <v>16</v>
      </c>
      <c r="D492" s="26">
        <v>1231</v>
      </c>
      <c r="E492" s="18" t="s">
        <v>17</v>
      </c>
      <c r="F492" s="179">
        <f>97989.58-521.34-10258.92-1082.86</f>
        <v>86126.46</v>
      </c>
      <c r="G492" s="131">
        <f t="shared" ref="G492:G506" si="40">(F492)*$G$27</f>
        <v>1171319.8560000001</v>
      </c>
      <c r="H492" s="106">
        <f t="shared" ref="H492:H504" si="41">G492*(1+$G$9)*(1+$G$11)*(1+$G$16)</f>
        <v>1213370.2388304002</v>
      </c>
      <c r="I492" s="19">
        <v>4500</v>
      </c>
      <c r="J492" s="3"/>
      <c r="K492" s="17"/>
    </row>
    <row r="493" spans="1:26" ht="15" customHeight="1" x14ac:dyDescent="0.2">
      <c r="A493" s="18" t="s">
        <v>74</v>
      </c>
      <c r="B493" s="24">
        <v>2236</v>
      </c>
      <c r="C493" s="25" t="s">
        <v>61</v>
      </c>
      <c r="D493" s="26">
        <v>1227</v>
      </c>
      <c r="E493" s="18" t="s">
        <v>75</v>
      </c>
      <c r="F493" s="179"/>
      <c r="G493" s="131">
        <f t="shared" si="40"/>
        <v>0</v>
      </c>
      <c r="H493" s="106">
        <f t="shared" si="41"/>
        <v>0</v>
      </c>
      <c r="I493" s="19">
        <v>4500</v>
      </c>
      <c r="J493" s="3"/>
      <c r="K493" s="17"/>
      <c r="L493" s="35"/>
      <c r="M493" s="35"/>
      <c r="N493" s="35"/>
      <c r="O493" s="35"/>
    </row>
    <row r="494" spans="1:26" ht="15" customHeight="1" x14ac:dyDescent="0.2">
      <c r="A494" s="18" t="s">
        <v>74</v>
      </c>
      <c r="B494" s="24">
        <v>2025</v>
      </c>
      <c r="C494" s="25" t="s">
        <v>16</v>
      </c>
      <c r="D494" s="26">
        <v>1229</v>
      </c>
      <c r="E494" s="18" t="s">
        <v>17</v>
      </c>
      <c r="F494" s="179"/>
      <c r="G494" s="131">
        <f t="shared" si="40"/>
        <v>0</v>
      </c>
      <c r="H494" s="106">
        <f t="shared" si="41"/>
        <v>0</v>
      </c>
      <c r="I494" s="19">
        <v>4011</v>
      </c>
      <c r="J494" s="3"/>
      <c r="K494" s="17"/>
    </row>
    <row r="495" spans="1:26" ht="15" customHeight="1" x14ac:dyDescent="0.2">
      <c r="A495" s="18" t="s">
        <v>74</v>
      </c>
      <c r="B495" s="24">
        <v>2025</v>
      </c>
      <c r="C495" s="25" t="s">
        <v>16</v>
      </c>
      <c r="D495" s="26">
        <v>1230</v>
      </c>
      <c r="E495" s="18" t="s">
        <v>17</v>
      </c>
      <c r="F495" s="179"/>
      <c r="G495" s="131">
        <f t="shared" si="40"/>
        <v>0</v>
      </c>
      <c r="H495" s="106">
        <f t="shared" si="41"/>
        <v>0</v>
      </c>
      <c r="I495" s="19">
        <v>4090</v>
      </c>
      <c r="J495" s="3"/>
      <c r="K495" s="17"/>
      <c r="L495" s="35"/>
    </row>
    <row r="496" spans="1:26" ht="15" customHeight="1" x14ac:dyDescent="0.2">
      <c r="A496" s="18" t="s">
        <v>74</v>
      </c>
      <c r="B496" s="24">
        <v>2025</v>
      </c>
      <c r="C496" s="25" t="s">
        <v>16</v>
      </c>
      <c r="D496" s="26">
        <v>1228</v>
      </c>
      <c r="E496" s="18" t="s">
        <v>17</v>
      </c>
      <c r="F496" s="179">
        <v>1082.8599999999999</v>
      </c>
      <c r="G496" s="131">
        <f t="shared" si="40"/>
        <v>14726.895999999999</v>
      </c>
      <c r="H496" s="106">
        <f t="shared" si="41"/>
        <v>15255.591566399999</v>
      </c>
      <c r="I496" s="19" t="s">
        <v>76</v>
      </c>
      <c r="J496" s="3"/>
      <c r="K496" s="17"/>
    </row>
    <row r="497" spans="1:26" ht="15" customHeight="1" x14ac:dyDescent="0.2">
      <c r="A497" s="18" t="s">
        <v>74</v>
      </c>
      <c r="B497" s="24">
        <v>2236</v>
      </c>
      <c r="C497" s="25" t="s">
        <v>16</v>
      </c>
      <c r="D497" s="26">
        <v>8951</v>
      </c>
      <c r="E497" s="18" t="s">
        <v>87</v>
      </c>
      <c r="F497" s="179"/>
      <c r="G497" s="131">
        <f t="shared" si="40"/>
        <v>0</v>
      </c>
      <c r="H497" s="106">
        <f t="shared" si="41"/>
        <v>0</v>
      </c>
      <c r="I497" s="19">
        <v>4500</v>
      </c>
      <c r="J497" s="3"/>
      <c r="K497" s="17"/>
    </row>
    <row r="498" spans="1:26" ht="15" customHeight="1" x14ac:dyDescent="0.2">
      <c r="A498" s="18" t="s">
        <v>74</v>
      </c>
      <c r="B498" s="24">
        <v>2025</v>
      </c>
      <c r="C498" s="25" t="s">
        <v>21</v>
      </c>
      <c r="D498" s="26">
        <v>8952</v>
      </c>
      <c r="E498" s="18" t="s">
        <v>87</v>
      </c>
      <c r="F498" s="179"/>
      <c r="G498" s="131">
        <f t="shared" si="40"/>
        <v>0</v>
      </c>
      <c r="H498" s="106">
        <f t="shared" si="41"/>
        <v>0</v>
      </c>
      <c r="I498" s="19">
        <v>4011</v>
      </c>
      <c r="J498" s="3"/>
      <c r="K498" s="17"/>
    </row>
    <row r="499" spans="1:26" ht="15" customHeight="1" x14ac:dyDescent="0.2">
      <c r="A499" s="18" t="s">
        <v>74</v>
      </c>
      <c r="B499" s="24">
        <v>2025</v>
      </c>
      <c r="C499" s="25" t="s">
        <v>21</v>
      </c>
      <c r="D499" s="26">
        <v>8953</v>
      </c>
      <c r="E499" s="18" t="s">
        <v>87</v>
      </c>
      <c r="F499" s="179"/>
      <c r="G499" s="131">
        <f t="shared" si="40"/>
        <v>0</v>
      </c>
      <c r="H499" s="106">
        <f t="shared" si="41"/>
        <v>0</v>
      </c>
      <c r="I499" s="19">
        <v>4090</v>
      </c>
      <c r="J499" s="3"/>
      <c r="K499" s="17"/>
    </row>
    <row r="500" spans="1:26" ht="15" customHeight="1" x14ac:dyDescent="0.2">
      <c r="A500" s="18" t="s">
        <v>74</v>
      </c>
      <c r="B500" s="24">
        <v>2025</v>
      </c>
      <c r="C500" s="25" t="s">
        <v>21</v>
      </c>
      <c r="D500" s="26">
        <v>8954</v>
      </c>
      <c r="E500" s="18" t="s">
        <v>87</v>
      </c>
      <c r="F500" s="179">
        <v>0</v>
      </c>
      <c r="G500" s="131">
        <f t="shared" si="40"/>
        <v>0</v>
      </c>
      <c r="H500" s="106">
        <f t="shared" si="41"/>
        <v>0</v>
      </c>
      <c r="I500" s="19" t="s">
        <v>76</v>
      </c>
      <c r="J500" s="3"/>
      <c r="K500" s="17"/>
    </row>
    <row r="501" spans="1:26" ht="15" customHeight="1" x14ac:dyDescent="0.2">
      <c r="A501" s="18" t="s">
        <v>74</v>
      </c>
      <c r="B501" s="24">
        <v>2236</v>
      </c>
      <c r="C501" s="25" t="s">
        <v>82</v>
      </c>
      <c r="D501" s="26">
        <v>1232</v>
      </c>
      <c r="E501" s="18" t="s">
        <v>83</v>
      </c>
      <c r="F501" s="179"/>
      <c r="G501" s="131">
        <f t="shared" si="40"/>
        <v>0</v>
      </c>
      <c r="H501" s="106">
        <f t="shared" si="41"/>
        <v>0</v>
      </c>
      <c r="I501" s="19">
        <v>4500</v>
      </c>
      <c r="J501" s="3"/>
      <c r="K501" s="17"/>
    </row>
    <row r="502" spans="1:26" ht="15" customHeight="1" x14ac:dyDescent="0.2">
      <c r="A502" s="18" t="s">
        <v>74</v>
      </c>
      <c r="B502" s="24">
        <v>2236</v>
      </c>
      <c r="C502" s="25" t="s">
        <v>35</v>
      </c>
      <c r="D502" s="26">
        <v>1234</v>
      </c>
      <c r="E502" s="18" t="s">
        <v>26</v>
      </c>
      <c r="F502" s="179"/>
      <c r="G502" s="131">
        <f t="shared" si="40"/>
        <v>0</v>
      </c>
      <c r="H502" s="106">
        <f t="shared" si="41"/>
        <v>0</v>
      </c>
      <c r="I502" s="19">
        <v>4500</v>
      </c>
      <c r="J502" s="3"/>
      <c r="K502" s="17"/>
    </row>
    <row r="503" spans="1:26" ht="15" customHeight="1" x14ac:dyDescent="0.2">
      <c r="A503" s="18" t="s">
        <v>74</v>
      </c>
      <c r="B503" s="24">
        <v>2025</v>
      </c>
      <c r="C503" s="25" t="s">
        <v>35</v>
      </c>
      <c r="D503" s="26">
        <v>1233</v>
      </c>
      <c r="E503" s="18" t="s">
        <v>26</v>
      </c>
      <c r="F503" s="179"/>
      <c r="G503" s="131">
        <f t="shared" si="40"/>
        <v>0</v>
      </c>
      <c r="H503" s="106">
        <f t="shared" si="41"/>
        <v>0</v>
      </c>
      <c r="I503" s="19" t="s">
        <v>76</v>
      </c>
      <c r="J503" s="3"/>
      <c r="K503" s="17"/>
    </row>
    <row r="504" spans="1:26" ht="15" customHeight="1" x14ac:dyDescent="0.2">
      <c r="A504" s="18" t="s">
        <v>74</v>
      </c>
      <c r="B504" s="24">
        <v>2025</v>
      </c>
      <c r="C504" s="18" t="s">
        <v>172</v>
      </c>
      <c r="D504" s="20">
        <v>1154</v>
      </c>
      <c r="E504" s="18" t="s">
        <v>19</v>
      </c>
      <c r="F504" s="179">
        <f>169621.82/4-F505</f>
        <v>15997.170000000002</v>
      </c>
      <c r="G504" s="131">
        <f t="shared" si="40"/>
        <v>217561.51200000002</v>
      </c>
      <c r="H504" s="106">
        <f t="shared" si="41"/>
        <v>225371.97028080001</v>
      </c>
      <c r="I504" s="19" t="s">
        <v>76</v>
      </c>
      <c r="J504" s="3"/>
      <c r="K504" s="17"/>
    </row>
    <row r="505" spans="1:26" ht="15" customHeight="1" x14ac:dyDescent="0.2">
      <c r="A505" s="18" t="s">
        <v>74</v>
      </c>
      <c r="B505" s="24">
        <v>2025</v>
      </c>
      <c r="C505" s="18" t="s">
        <v>173</v>
      </c>
      <c r="D505" s="20">
        <v>1154</v>
      </c>
      <c r="E505" s="18" t="s">
        <v>174</v>
      </c>
      <c r="F505" s="179">
        <f>105633.14/4</f>
        <v>26408.285</v>
      </c>
      <c r="G505" s="131">
        <f t="shared" si="40"/>
        <v>359152.67599999998</v>
      </c>
      <c r="H505" s="106">
        <f>(G505/G$26*H$26)*(1+$G$9)*(1+$G$11)*(1+$G$16)</f>
        <v>450965.1600829091</v>
      </c>
      <c r="I505" s="19" t="s">
        <v>76</v>
      </c>
      <c r="J505" s="3"/>
      <c r="K505" s="17"/>
    </row>
    <row r="506" spans="1:26" ht="15" customHeight="1" x14ac:dyDescent="0.2">
      <c r="A506" s="18" t="s">
        <v>74</v>
      </c>
      <c r="B506" s="24">
        <v>2025</v>
      </c>
      <c r="C506" s="25" t="s">
        <v>143</v>
      </c>
      <c r="D506" s="26">
        <v>8955</v>
      </c>
      <c r="E506" s="18" t="s">
        <v>14</v>
      </c>
      <c r="F506" s="179"/>
      <c r="G506" s="131">
        <f t="shared" si="40"/>
        <v>0</v>
      </c>
      <c r="H506" s="106">
        <f>G506*(1+$G$9)*(1+$G$11)*(1+$G$16)</f>
        <v>0</v>
      </c>
      <c r="I506" s="19" t="s">
        <v>76</v>
      </c>
      <c r="J506" s="3"/>
      <c r="K506" s="17"/>
    </row>
    <row r="507" spans="1:26" ht="15" customHeight="1" x14ac:dyDescent="0.2">
      <c r="A507" s="18" t="s">
        <v>74</v>
      </c>
      <c r="B507" s="24">
        <v>2025</v>
      </c>
      <c r="C507" s="25" t="s">
        <v>144</v>
      </c>
      <c r="D507" s="26">
        <v>9148</v>
      </c>
      <c r="E507" s="18" t="s">
        <v>14</v>
      </c>
      <c r="F507" s="179">
        <v>3826.45</v>
      </c>
      <c r="G507" s="131">
        <f>(F507)*$I$27</f>
        <v>45917.399999999994</v>
      </c>
      <c r="H507" s="106">
        <f>G507*(1+$G$9)*(1+$G$11)*(1+$G$16)</f>
        <v>47565.834659999993</v>
      </c>
      <c r="I507" s="19" t="s">
        <v>76</v>
      </c>
      <c r="J507" s="3"/>
      <c r="K507" s="4"/>
      <c r="L507" s="84"/>
      <c r="M507" s="5"/>
      <c r="N507" s="29"/>
      <c r="R507" s="5"/>
      <c r="S507" s="5"/>
      <c r="T507" s="5"/>
      <c r="U507" s="5"/>
      <c r="V507" s="5"/>
      <c r="W507" s="5"/>
      <c r="X507" s="5"/>
      <c r="Y507" s="5"/>
      <c r="Z507" s="30"/>
    </row>
    <row r="508" spans="1:26" ht="15" customHeight="1" x14ac:dyDescent="0.2">
      <c r="A508" s="18"/>
      <c r="B508" s="24"/>
      <c r="C508" s="25"/>
      <c r="D508" s="26"/>
      <c r="E508" s="18"/>
      <c r="F508" s="179"/>
      <c r="G508" s="131"/>
      <c r="H508" s="106">
        <f>SUM(H493:H507)</f>
        <v>739158.55659010913</v>
      </c>
      <c r="I508" s="19"/>
      <c r="J508" s="3"/>
      <c r="K508" s="4"/>
      <c r="L508" s="84"/>
      <c r="M508" s="5"/>
      <c r="N508" s="29"/>
      <c r="R508" s="5"/>
      <c r="S508" s="5"/>
      <c r="T508" s="5"/>
      <c r="U508" s="5"/>
      <c r="V508" s="5"/>
      <c r="W508" s="5"/>
      <c r="X508" s="5"/>
      <c r="Y508" s="5"/>
      <c r="Z508" s="30"/>
    </row>
    <row r="509" spans="1:26" ht="15" customHeight="1" x14ac:dyDescent="0.2">
      <c r="A509" s="18" t="s">
        <v>74</v>
      </c>
      <c r="B509" s="24">
        <v>2025</v>
      </c>
      <c r="C509" s="25" t="s">
        <v>28</v>
      </c>
      <c r="D509" s="26">
        <v>1381</v>
      </c>
      <c r="E509" s="18" t="s">
        <v>29</v>
      </c>
      <c r="F509" s="179">
        <v>12274.58</v>
      </c>
      <c r="G509" s="131">
        <f>(F509*1.1)*$E$27</f>
        <v>162024.45600000001</v>
      </c>
      <c r="H509" s="106">
        <f>G509*(1+$G$9)*(1+$G$11)*(1+$G$16)</f>
        <v>167841.1339704</v>
      </c>
      <c r="I509" s="19" t="s">
        <v>76</v>
      </c>
      <c r="J509" s="3"/>
      <c r="K509" s="17"/>
    </row>
    <row r="510" spans="1:26" ht="15" customHeight="1" x14ac:dyDescent="0.2">
      <c r="A510" s="18" t="s">
        <v>74</v>
      </c>
      <c r="B510" s="24">
        <v>2025</v>
      </c>
      <c r="C510" s="18" t="s">
        <v>18</v>
      </c>
      <c r="D510" s="20">
        <v>1216</v>
      </c>
      <c r="E510" s="18" t="s">
        <v>19</v>
      </c>
      <c r="F510" s="181"/>
      <c r="G510" s="131">
        <f>(F510)*$G$27</f>
        <v>0</v>
      </c>
      <c r="H510" s="106">
        <f>G510*(1+$G$9)*(1+$G$11)*(1+$G$16)</f>
        <v>0</v>
      </c>
      <c r="I510" s="19" t="s">
        <v>76</v>
      </c>
      <c r="J510" s="3"/>
      <c r="K510" s="17"/>
    </row>
    <row r="511" spans="1:26" ht="15" customHeight="1" x14ac:dyDescent="0.2">
      <c r="A511" s="18" t="s">
        <v>74</v>
      </c>
      <c r="B511" s="24">
        <v>2025</v>
      </c>
      <c r="C511" s="25" t="s">
        <v>30</v>
      </c>
      <c r="D511" s="26">
        <v>1155</v>
      </c>
      <c r="E511" s="18" t="s">
        <v>31</v>
      </c>
      <c r="F511" s="179"/>
      <c r="G511" s="131"/>
      <c r="H511" s="106">
        <f>G511*(1+$G$9)*(1+$G$11)*(1+$G$16)</f>
        <v>0</v>
      </c>
      <c r="I511" s="19" t="s">
        <v>76</v>
      </c>
      <c r="J511" s="3"/>
      <c r="K511" s="4"/>
      <c r="L511" s="84"/>
      <c r="M511" s="5"/>
      <c r="N511" s="29"/>
      <c r="R511" s="5"/>
      <c r="S511" s="5"/>
      <c r="T511" s="5"/>
      <c r="U511" s="5"/>
      <c r="V511" s="5"/>
      <c r="W511" s="5"/>
      <c r="X511" s="5"/>
      <c r="Y511" s="5"/>
      <c r="Z511" s="30"/>
    </row>
    <row r="512" spans="1:26" ht="15" customHeight="1" x14ac:dyDescent="0.2">
      <c r="A512" s="111"/>
      <c r="B512" s="112"/>
      <c r="C512" s="113"/>
      <c r="D512" s="114"/>
      <c r="E512" s="111"/>
      <c r="F512" s="185">
        <f>SUM(F492:F511)</f>
        <v>145715.80499999999</v>
      </c>
      <c r="G512" s="126">
        <f>SUM(G492:G511)</f>
        <v>1970702.7960000001</v>
      </c>
      <c r="H512" s="126">
        <f>SUM(H508:H511)+H492</f>
        <v>2120369.9293909092</v>
      </c>
      <c r="I512" s="19"/>
      <c r="J512" s="3"/>
      <c r="K512" s="17"/>
    </row>
    <row r="513" spans="1:13" ht="15" customHeight="1" x14ac:dyDescent="0.2">
      <c r="A513" s="18" t="s">
        <v>74</v>
      </c>
      <c r="B513" s="24" t="s">
        <v>84</v>
      </c>
      <c r="C513" s="25" t="s">
        <v>61</v>
      </c>
      <c r="D513" s="26">
        <v>1296</v>
      </c>
      <c r="E513" s="18" t="s">
        <v>43</v>
      </c>
      <c r="F513" s="179"/>
      <c r="G513" s="131">
        <f t="shared" ref="G513:G528" si="42">(F513)*$G$27</f>
        <v>0</v>
      </c>
      <c r="H513" s="106">
        <f t="shared" ref="H513:H526" si="43">G513*(1+$G$9)*(1+$G$11)*(1+$G$16)</f>
        <v>0</v>
      </c>
      <c r="I513" s="19">
        <v>4501</v>
      </c>
      <c r="J513" s="3"/>
      <c r="K513" s="17"/>
      <c r="L513" s="17"/>
    </row>
    <row r="514" spans="1:13" ht="15" customHeight="1" x14ac:dyDescent="0.2">
      <c r="A514" s="18" t="s">
        <v>74</v>
      </c>
      <c r="B514" s="24">
        <v>2028</v>
      </c>
      <c r="C514" s="25" t="s">
        <v>61</v>
      </c>
      <c r="D514" s="26">
        <v>1258</v>
      </c>
      <c r="E514" s="18" t="s">
        <v>43</v>
      </c>
      <c r="F514" s="179"/>
      <c r="G514" s="131">
        <f t="shared" si="42"/>
        <v>0</v>
      </c>
      <c r="H514" s="106">
        <f t="shared" si="43"/>
        <v>0</v>
      </c>
      <c r="I514" s="19">
        <v>4011</v>
      </c>
      <c r="J514" s="3"/>
      <c r="K514" s="17"/>
      <c r="M514" s="35"/>
    </row>
    <row r="515" spans="1:13" ht="15" customHeight="1" x14ac:dyDescent="0.2">
      <c r="A515" s="18" t="s">
        <v>74</v>
      </c>
      <c r="B515" s="24">
        <v>2028</v>
      </c>
      <c r="C515" s="25" t="s">
        <v>61</v>
      </c>
      <c r="D515" s="26">
        <v>1295</v>
      </c>
      <c r="E515" s="18" t="s">
        <v>43</v>
      </c>
      <c r="F515" s="179"/>
      <c r="G515" s="131">
        <f t="shared" si="42"/>
        <v>0</v>
      </c>
      <c r="H515" s="106">
        <f t="shared" si="43"/>
        <v>0</v>
      </c>
      <c r="I515" s="19" t="s">
        <v>76</v>
      </c>
      <c r="J515" s="3"/>
      <c r="K515" s="17"/>
    </row>
    <row r="516" spans="1:13" ht="15" customHeight="1" x14ac:dyDescent="0.2">
      <c r="A516" s="18" t="s">
        <v>74</v>
      </c>
      <c r="B516" s="24">
        <v>2028</v>
      </c>
      <c r="C516" s="25" t="s">
        <v>16</v>
      </c>
      <c r="D516" s="26">
        <v>1299</v>
      </c>
      <c r="E516" s="18" t="s">
        <v>17</v>
      </c>
      <c r="F516" s="179">
        <f>23251.12-532.8</f>
        <v>22718.32</v>
      </c>
      <c r="G516" s="131">
        <f t="shared" si="42"/>
        <v>308969.152</v>
      </c>
      <c r="H516" s="106">
        <f t="shared" si="43"/>
        <v>320061.14455680002</v>
      </c>
      <c r="I516" s="19">
        <v>4501</v>
      </c>
      <c r="J516" s="3"/>
      <c r="K516" s="17"/>
      <c r="M516" s="35"/>
    </row>
    <row r="517" spans="1:13" ht="15" customHeight="1" x14ac:dyDescent="0.2">
      <c r="A517" s="18" t="s">
        <v>74</v>
      </c>
      <c r="B517" s="24">
        <v>2028</v>
      </c>
      <c r="C517" s="25" t="s">
        <v>16</v>
      </c>
      <c r="D517" s="26">
        <v>1297</v>
      </c>
      <c r="E517" s="18" t="s">
        <v>17</v>
      </c>
      <c r="F517" s="179">
        <v>8755.5400000000009</v>
      </c>
      <c r="G517" s="131">
        <f t="shared" si="42"/>
        <v>119075.34400000001</v>
      </c>
      <c r="H517" s="106">
        <f t="shared" si="43"/>
        <v>123350.14884960002</v>
      </c>
      <c r="I517" s="19" t="s">
        <v>76</v>
      </c>
      <c r="J517" s="3"/>
      <c r="K517" s="17"/>
    </row>
    <row r="518" spans="1:13" ht="15" customHeight="1" x14ac:dyDescent="0.2">
      <c r="A518" s="18" t="s">
        <v>74</v>
      </c>
      <c r="B518" s="24">
        <v>2028</v>
      </c>
      <c r="C518" s="25" t="s">
        <v>16</v>
      </c>
      <c r="D518" s="26">
        <v>1259</v>
      </c>
      <c r="E518" s="18" t="s">
        <v>17</v>
      </c>
      <c r="F518" s="179"/>
      <c r="G518" s="131">
        <f t="shared" si="42"/>
        <v>0</v>
      </c>
      <c r="H518" s="106">
        <f t="shared" si="43"/>
        <v>0</v>
      </c>
      <c r="I518" s="19">
        <v>4011</v>
      </c>
      <c r="J518" s="3"/>
      <c r="K518" s="17"/>
    </row>
    <row r="519" spans="1:13" ht="15" customHeight="1" x14ac:dyDescent="0.2">
      <c r="A519" s="18" t="s">
        <v>74</v>
      </c>
      <c r="B519" s="24">
        <v>2028</v>
      </c>
      <c r="C519" s="25" t="s">
        <v>16</v>
      </c>
      <c r="D519" s="26">
        <v>1298</v>
      </c>
      <c r="E519" s="18" t="s">
        <v>17</v>
      </c>
      <c r="F519" s="179">
        <f>27368.55-182.9-979.83-491.69</f>
        <v>25714.129999999997</v>
      </c>
      <c r="G519" s="131">
        <f t="shared" si="42"/>
        <v>349712.16799999995</v>
      </c>
      <c r="H519" s="106">
        <f t="shared" si="43"/>
        <v>362266.83483119996</v>
      </c>
      <c r="I519" s="19">
        <v>4220</v>
      </c>
      <c r="J519" s="3"/>
      <c r="K519" s="38"/>
    </row>
    <row r="520" spans="1:13" ht="15" customHeight="1" x14ac:dyDescent="0.2">
      <c r="A520" s="18" t="s">
        <v>74</v>
      </c>
      <c r="B520" s="24">
        <v>2028</v>
      </c>
      <c r="C520" s="25" t="s">
        <v>21</v>
      </c>
      <c r="D520" s="26">
        <v>8956</v>
      </c>
      <c r="E520" s="18" t="s">
        <v>85</v>
      </c>
      <c r="F520" s="179"/>
      <c r="G520" s="131">
        <f t="shared" si="42"/>
        <v>0</v>
      </c>
      <c r="H520" s="106">
        <f t="shared" si="43"/>
        <v>0</v>
      </c>
      <c r="I520" s="19">
        <v>4501</v>
      </c>
      <c r="J520" s="3"/>
      <c r="K520" s="17"/>
    </row>
    <row r="521" spans="1:13" ht="15" customHeight="1" x14ac:dyDescent="0.2">
      <c r="A521" s="18" t="s">
        <v>74</v>
      </c>
      <c r="B521" s="24">
        <v>2028</v>
      </c>
      <c r="C521" s="25" t="s">
        <v>21</v>
      </c>
      <c r="D521" s="26">
        <v>8957</v>
      </c>
      <c r="E521" s="18" t="s">
        <v>85</v>
      </c>
      <c r="F521" s="179">
        <v>491.69</v>
      </c>
      <c r="G521" s="131">
        <f t="shared" si="42"/>
        <v>6686.9839999999995</v>
      </c>
      <c r="H521" s="106">
        <f t="shared" si="43"/>
        <v>6927.0467256000002</v>
      </c>
      <c r="I521" s="19">
        <v>4220</v>
      </c>
      <c r="J521" s="3"/>
      <c r="K521" s="17"/>
    </row>
    <row r="522" spans="1:13" ht="15" customHeight="1" x14ac:dyDescent="0.2">
      <c r="A522" s="18" t="s">
        <v>74</v>
      </c>
      <c r="B522" s="24">
        <v>2028</v>
      </c>
      <c r="C522" s="25" t="s">
        <v>21</v>
      </c>
      <c r="D522" s="26">
        <v>4931</v>
      </c>
      <c r="E522" s="18" t="s">
        <v>85</v>
      </c>
      <c r="F522" s="179"/>
      <c r="G522" s="131">
        <f t="shared" si="42"/>
        <v>0</v>
      </c>
      <c r="H522" s="106">
        <f t="shared" si="43"/>
        <v>0</v>
      </c>
      <c r="I522" s="19" t="s">
        <v>76</v>
      </c>
      <c r="J522" s="3"/>
      <c r="K522" s="17"/>
    </row>
    <row r="523" spans="1:13" ht="15" customHeight="1" x14ac:dyDescent="0.2">
      <c r="A523" s="18" t="s">
        <v>74</v>
      </c>
      <c r="B523" s="24">
        <v>2028</v>
      </c>
      <c r="C523" s="25" t="s">
        <v>35</v>
      </c>
      <c r="D523" s="26">
        <v>1302</v>
      </c>
      <c r="E523" s="18" t="s">
        <v>26</v>
      </c>
      <c r="F523" s="179"/>
      <c r="G523" s="131">
        <f t="shared" si="42"/>
        <v>0</v>
      </c>
      <c r="H523" s="106">
        <f t="shared" si="43"/>
        <v>0</v>
      </c>
      <c r="I523" s="19">
        <v>4501</v>
      </c>
      <c r="J523" s="3"/>
      <c r="K523" s="17"/>
      <c r="M523" s="17"/>
    </row>
    <row r="524" spans="1:13" ht="15" customHeight="1" x14ac:dyDescent="0.2">
      <c r="A524" s="18" t="s">
        <v>74</v>
      </c>
      <c r="B524" s="24">
        <v>2028</v>
      </c>
      <c r="C524" s="25" t="s">
        <v>35</v>
      </c>
      <c r="D524" s="26">
        <v>1301</v>
      </c>
      <c r="E524" s="18" t="s">
        <v>26</v>
      </c>
      <c r="F524" s="179"/>
      <c r="G524" s="131">
        <f t="shared" si="42"/>
        <v>0</v>
      </c>
      <c r="H524" s="106">
        <f t="shared" si="43"/>
        <v>0</v>
      </c>
      <c r="I524" s="19">
        <v>4220</v>
      </c>
      <c r="J524" s="3"/>
      <c r="K524" s="17"/>
      <c r="M524" s="17"/>
    </row>
    <row r="525" spans="1:13" ht="15" customHeight="1" x14ac:dyDescent="0.2">
      <c r="A525" s="18" t="s">
        <v>74</v>
      </c>
      <c r="B525" s="24">
        <v>2028</v>
      </c>
      <c r="C525" s="25" t="s">
        <v>35</v>
      </c>
      <c r="D525" s="26">
        <v>1300</v>
      </c>
      <c r="E525" s="18" t="s">
        <v>26</v>
      </c>
      <c r="F525" s="179"/>
      <c r="G525" s="131">
        <f t="shared" si="42"/>
        <v>0</v>
      </c>
      <c r="H525" s="106">
        <f t="shared" si="43"/>
        <v>0</v>
      </c>
      <c r="I525" s="19" t="s">
        <v>76</v>
      </c>
      <c r="J525" s="3"/>
      <c r="K525" s="17"/>
    </row>
    <row r="526" spans="1:13" ht="15" customHeight="1" x14ac:dyDescent="0.2">
      <c r="A526" s="18" t="s">
        <v>74</v>
      </c>
      <c r="B526" s="24">
        <v>2028</v>
      </c>
      <c r="C526" s="18" t="s">
        <v>172</v>
      </c>
      <c r="D526" s="20">
        <v>1165</v>
      </c>
      <c r="E526" s="18" t="s">
        <v>19</v>
      </c>
      <c r="F526" s="179">
        <f>94644.42/4-F527</f>
        <v>8991.375</v>
      </c>
      <c r="G526" s="131">
        <f t="shared" si="42"/>
        <v>122282.7</v>
      </c>
      <c r="H526" s="106">
        <f t="shared" si="43"/>
        <v>126672.64893</v>
      </c>
      <c r="I526" s="19" t="s">
        <v>76</v>
      </c>
      <c r="J526" s="3"/>
      <c r="K526" s="17"/>
    </row>
    <row r="527" spans="1:13" ht="15" customHeight="1" x14ac:dyDescent="0.2">
      <c r="A527" s="18" t="s">
        <v>74</v>
      </c>
      <c r="B527" s="24">
        <v>2028</v>
      </c>
      <c r="C527" s="18" t="s">
        <v>173</v>
      </c>
      <c r="D527" s="20">
        <v>1165</v>
      </c>
      <c r="E527" s="18" t="s">
        <v>174</v>
      </c>
      <c r="F527" s="179">
        <f>( 11755.2+ 46923.72 )/4</f>
        <v>14669.73</v>
      </c>
      <c r="G527" s="131">
        <f t="shared" si="42"/>
        <v>199508.32799999998</v>
      </c>
      <c r="H527" s="106">
        <f>(G527/G$26*H$26)*(1+$G$9)*(1+$G$11)*(1+$G$16)</f>
        <v>250509.91148509088</v>
      </c>
      <c r="I527" s="19" t="s">
        <v>76</v>
      </c>
      <c r="J527" s="3"/>
      <c r="K527" s="17"/>
    </row>
    <row r="528" spans="1:13" ht="15" customHeight="1" x14ac:dyDescent="0.2">
      <c r="A528" s="18" t="s">
        <v>74</v>
      </c>
      <c r="B528" s="24">
        <v>2028</v>
      </c>
      <c r="C528" s="25" t="s">
        <v>143</v>
      </c>
      <c r="D528" s="26">
        <v>8958</v>
      </c>
      <c r="E528" s="18" t="s">
        <v>14</v>
      </c>
      <c r="F528" s="179"/>
      <c r="G528" s="131">
        <f t="shared" si="42"/>
        <v>0</v>
      </c>
      <c r="H528" s="106">
        <f>G528*(1+$G$9)*(1+$G$11)*(1+$G$16)</f>
        <v>0</v>
      </c>
      <c r="I528" s="19" t="s">
        <v>76</v>
      </c>
      <c r="J528" s="3"/>
      <c r="K528" s="17"/>
    </row>
    <row r="529" spans="1:26" ht="15" customHeight="1" x14ac:dyDescent="0.2">
      <c r="A529" s="18" t="s">
        <v>74</v>
      </c>
      <c r="B529" s="24">
        <v>2028</v>
      </c>
      <c r="C529" s="25" t="s">
        <v>144</v>
      </c>
      <c r="D529" s="26">
        <v>9149</v>
      </c>
      <c r="E529" s="18" t="s">
        <v>14</v>
      </c>
      <c r="F529" s="179">
        <f>349.46+350.21+811</f>
        <v>1510.67</v>
      </c>
      <c r="G529" s="131">
        <f>(F529)*$I$27</f>
        <v>18128.04</v>
      </c>
      <c r="H529" s="106">
        <f>G529*(1+$G$9)*(1+$G$11)*(1+$G$16)</f>
        <v>18778.836636</v>
      </c>
      <c r="I529" s="19" t="s">
        <v>76</v>
      </c>
      <c r="J529" s="3"/>
      <c r="K529" s="4"/>
      <c r="L529" s="84"/>
      <c r="M529" s="5"/>
      <c r="N529" s="29"/>
      <c r="R529" s="5"/>
      <c r="S529" s="5"/>
      <c r="T529" s="5"/>
      <c r="U529" s="5"/>
      <c r="V529" s="5"/>
      <c r="W529" s="5"/>
      <c r="X529" s="5"/>
      <c r="Y529" s="5"/>
      <c r="Z529" s="30"/>
    </row>
    <row r="530" spans="1:26" ht="15" customHeight="1" x14ac:dyDescent="0.2">
      <c r="A530" s="18"/>
      <c r="B530" s="24"/>
      <c r="C530" s="25"/>
      <c r="D530" s="26"/>
      <c r="E530" s="18"/>
      <c r="F530" s="179"/>
      <c r="G530" s="131"/>
      <c r="H530" s="106">
        <f>SUM(H513:H529)</f>
        <v>1208566.5720142911</v>
      </c>
      <c r="I530" s="19"/>
      <c r="J530" s="3"/>
      <c r="K530" s="4"/>
      <c r="L530" s="84"/>
      <c r="M530" s="5"/>
      <c r="N530" s="29"/>
      <c r="R530" s="5"/>
      <c r="S530" s="5"/>
      <c r="T530" s="5"/>
      <c r="U530" s="5"/>
      <c r="V530" s="5"/>
      <c r="W530" s="5"/>
      <c r="X530" s="5"/>
      <c r="Y530" s="5"/>
      <c r="Z530" s="30"/>
    </row>
    <row r="531" spans="1:26" ht="15" customHeight="1" x14ac:dyDescent="0.2">
      <c r="A531" s="18" t="s">
        <v>74</v>
      </c>
      <c r="B531" s="24">
        <v>2028</v>
      </c>
      <c r="C531" s="25" t="s">
        <v>28</v>
      </c>
      <c r="D531" s="26">
        <v>1383</v>
      </c>
      <c r="E531" s="18" t="s">
        <v>29</v>
      </c>
      <c r="F531" s="179">
        <f>898.14+598.76+2095.66</f>
        <v>3592.56</v>
      </c>
      <c r="G531" s="131">
        <f>(F531*1.1)*$E$27</f>
        <v>47421.792000000001</v>
      </c>
      <c r="H531" s="106">
        <f>G531*(1+$G$9)*(1+$G$11)*(1+$G$16)</f>
        <v>49124.234332800006</v>
      </c>
      <c r="I531" s="19" t="s">
        <v>76</v>
      </c>
      <c r="J531" s="3"/>
      <c r="K531" s="17"/>
    </row>
    <row r="532" spans="1:26" ht="15" customHeight="1" x14ac:dyDescent="0.2">
      <c r="A532" s="18" t="s">
        <v>74</v>
      </c>
      <c r="B532" s="24">
        <v>2028</v>
      </c>
      <c r="C532" s="18" t="s">
        <v>18</v>
      </c>
      <c r="D532" s="20">
        <v>1218</v>
      </c>
      <c r="E532" s="18" t="s">
        <v>19</v>
      </c>
      <c r="F532" s="181"/>
      <c r="G532" s="131">
        <f>(F532)*$G$27</f>
        <v>0</v>
      </c>
      <c r="H532" s="106">
        <f>G532*(1+$G$9)*(1+$G$11)*(1+$G$16)</f>
        <v>0</v>
      </c>
      <c r="I532" s="19" t="s">
        <v>76</v>
      </c>
      <c r="J532" s="3"/>
      <c r="K532" s="17"/>
    </row>
    <row r="533" spans="1:26" ht="15" customHeight="1" x14ac:dyDescent="0.2">
      <c r="A533" s="18" t="s">
        <v>74</v>
      </c>
      <c r="B533" s="24">
        <v>2028</v>
      </c>
      <c r="C533" s="25" t="s">
        <v>30</v>
      </c>
      <c r="D533" s="26">
        <v>1166</v>
      </c>
      <c r="E533" s="18" t="s">
        <v>31</v>
      </c>
      <c r="F533" s="179"/>
      <c r="G533" s="131"/>
      <c r="H533" s="106">
        <f>G533*(1+$G$9)*(1+$G$11)*(1+$G$16)</f>
        <v>0</v>
      </c>
      <c r="I533" s="19" t="s">
        <v>76</v>
      </c>
      <c r="J533" s="3"/>
      <c r="K533" s="4"/>
      <c r="L533" s="84"/>
      <c r="M533" s="5"/>
      <c r="N533" s="29"/>
      <c r="R533" s="5"/>
      <c r="S533" s="5"/>
      <c r="T533" s="5"/>
      <c r="U533" s="5"/>
      <c r="V533" s="5"/>
      <c r="W533" s="5"/>
      <c r="X533" s="5"/>
      <c r="Y533" s="5"/>
      <c r="Z533" s="30"/>
    </row>
    <row r="534" spans="1:26" ht="15" customHeight="1" x14ac:dyDescent="0.2">
      <c r="A534" s="111"/>
      <c r="B534" s="112"/>
      <c r="C534" s="113"/>
      <c r="D534" s="114"/>
      <c r="E534" s="111"/>
      <c r="F534" s="180">
        <f>SUM(F513:F533)</f>
        <v>86444.014999999985</v>
      </c>
      <c r="G534" s="123">
        <f>SUM(G513:G533)</f>
        <v>1171784.5079999999</v>
      </c>
      <c r="H534" s="123">
        <f>SUM(H530:H533)</f>
        <v>1257690.806347091</v>
      </c>
      <c r="I534" s="19"/>
      <c r="J534" s="3"/>
      <c r="K534" s="17"/>
    </row>
    <row r="535" spans="1:26" ht="15" customHeight="1" x14ac:dyDescent="0.2">
      <c r="A535" s="18" t="s">
        <v>74</v>
      </c>
      <c r="B535" s="24" t="s">
        <v>86</v>
      </c>
      <c r="C535" s="25" t="s">
        <v>61</v>
      </c>
      <c r="D535" s="26">
        <v>1237</v>
      </c>
      <c r="E535" s="18" t="s">
        <v>75</v>
      </c>
      <c r="F535" s="179">
        <v>28307.01</v>
      </c>
      <c r="G535" s="131">
        <f t="shared" ref="G535:G548" si="44">(F535)*$G$27</f>
        <v>384975.33599999995</v>
      </c>
      <c r="H535" s="106">
        <f t="shared" ref="H535:H550" si="45">G535*(1+$G$9)*(1+$G$11)*(1+$G$16)</f>
        <v>398795.95056239999</v>
      </c>
      <c r="I535" s="19">
        <v>4090</v>
      </c>
      <c r="J535" s="3"/>
      <c r="K535" s="17"/>
    </row>
    <row r="536" spans="1:26" ht="15" customHeight="1" x14ac:dyDescent="0.2">
      <c r="A536" s="18" t="s">
        <v>74</v>
      </c>
      <c r="B536" s="24">
        <v>2026</v>
      </c>
      <c r="C536" s="25" t="s">
        <v>61</v>
      </c>
      <c r="D536" s="26">
        <v>1235</v>
      </c>
      <c r="E536" s="18" t="s">
        <v>75</v>
      </c>
      <c r="F536" s="179">
        <f>1042.74+5802.9</f>
        <v>6845.6399999999994</v>
      </c>
      <c r="G536" s="131">
        <f t="shared" si="44"/>
        <v>93100.703999999983</v>
      </c>
      <c r="H536" s="106">
        <f t="shared" si="45"/>
        <v>96443.019273599988</v>
      </c>
      <c r="I536" s="19" t="s">
        <v>76</v>
      </c>
      <c r="J536" s="3"/>
      <c r="K536" s="17"/>
      <c r="M536" s="35"/>
    </row>
    <row r="537" spans="1:26" ht="15" customHeight="1" x14ac:dyDescent="0.2">
      <c r="A537" s="18" t="s">
        <v>74</v>
      </c>
      <c r="B537" s="24">
        <v>2026</v>
      </c>
      <c r="C537" s="25" t="s">
        <v>61</v>
      </c>
      <c r="D537" s="26">
        <v>1236</v>
      </c>
      <c r="E537" s="18" t="s">
        <v>75</v>
      </c>
      <c r="F537" s="179"/>
      <c r="G537" s="131">
        <f t="shared" si="44"/>
        <v>0</v>
      </c>
      <c r="H537" s="106">
        <f t="shared" si="45"/>
        <v>0</v>
      </c>
      <c r="I537" s="19">
        <v>4011</v>
      </c>
      <c r="J537" s="3"/>
      <c r="K537" s="17"/>
      <c r="M537" s="35"/>
    </row>
    <row r="538" spans="1:26" ht="15" customHeight="1" x14ac:dyDescent="0.2">
      <c r="A538" s="18" t="s">
        <v>74</v>
      </c>
      <c r="B538" s="22">
        <v>2238</v>
      </c>
      <c r="C538" s="25" t="s">
        <v>61</v>
      </c>
      <c r="D538" s="26">
        <v>1238</v>
      </c>
      <c r="E538" s="18" t="s">
        <v>75</v>
      </c>
      <c r="F538" s="179">
        <v>5086.57</v>
      </c>
      <c r="G538" s="131">
        <f t="shared" si="44"/>
        <v>69177.351999999999</v>
      </c>
      <c r="H538" s="106">
        <f t="shared" si="45"/>
        <v>71660.818936800002</v>
      </c>
      <c r="I538" s="19">
        <v>4500</v>
      </c>
      <c r="J538" s="3"/>
      <c r="K538" s="17"/>
      <c r="M538" s="35"/>
      <c r="N538" s="35"/>
      <c r="P538" s="35"/>
      <c r="Q538" s="35"/>
    </row>
    <row r="539" spans="1:26" ht="15" customHeight="1" x14ac:dyDescent="0.2">
      <c r="A539" s="18" t="s">
        <v>74</v>
      </c>
      <c r="B539" s="24">
        <v>2026</v>
      </c>
      <c r="C539" s="25" t="s">
        <v>16</v>
      </c>
      <c r="D539" s="26">
        <v>1241</v>
      </c>
      <c r="E539" s="18" t="s">
        <v>17</v>
      </c>
      <c r="F539" s="179">
        <f>9006.48-649.36</f>
        <v>8357.119999999999</v>
      </c>
      <c r="G539" s="131">
        <f t="shared" si="44"/>
        <v>113656.83199999998</v>
      </c>
      <c r="H539" s="106">
        <f t="shared" si="45"/>
        <v>117737.11226879999</v>
      </c>
      <c r="I539" s="19">
        <v>4090</v>
      </c>
      <c r="J539" s="3"/>
      <c r="K539" s="17">
        <v>71660.818936800002</v>
      </c>
      <c r="L539" s="6">
        <v>74047.124207395449</v>
      </c>
      <c r="M539" s="6">
        <v>76438.846319294316</v>
      </c>
      <c r="N539" s="6">
        <v>78892.533286143662</v>
      </c>
    </row>
    <row r="540" spans="1:26" ht="15" customHeight="1" x14ac:dyDescent="0.2">
      <c r="A540" s="18" t="s">
        <v>74</v>
      </c>
      <c r="B540" s="22">
        <v>2238</v>
      </c>
      <c r="C540" s="25" t="s">
        <v>16</v>
      </c>
      <c r="D540" s="26">
        <v>1243</v>
      </c>
      <c r="E540" s="18" t="s">
        <v>17</v>
      </c>
      <c r="F540" s="179">
        <f>96638.67-3569.49-2340.92</f>
        <v>90728.26</v>
      </c>
      <c r="G540" s="131">
        <f t="shared" si="44"/>
        <v>1233904.3359999999</v>
      </c>
      <c r="H540" s="106">
        <f t="shared" si="45"/>
        <v>1278201.5016623999</v>
      </c>
      <c r="I540" s="19">
        <v>4500</v>
      </c>
      <c r="J540" s="3"/>
      <c r="K540" s="17">
        <v>1278201.5016623999</v>
      </c>
      <c r="L540" s="6">
        <v>1320765.6116677579</v>
      </c>
      <c r="M540" s="6">
        <v>1363426.3409246264</v>
      </c>
      <c r="N540" s="6">
        <v>1407192.3264683071</v>
      </c>
    </row>
    <row r="541" spans="1:26" ht="15" customHeight="1" x14ac:dyDescent="0.2">
      <c r="A541" s="18" t="s">
        <v>74</v>
      </c>
      <c r="B541" s="24">
        <v>2026</v>
      </c>
      <c r="C541" s="25" t="s">
        <v>16</v>
      </c>
      <c r="D541" s="26">
        <v>1240</v>
      </c>
      <c r="E541" s="18" t="s">
        <v>17</v>
      </c>
      <c r="F541" s="179"/>
      <c r="G541" s="131">
        <f t="shared" si="44"/>
        <v>0</v>
      </c>
      <c r="H541" s="106">
        <f t="shared" si="45"/>
        <v>0</v>
      </c>
      <c r="I541" s="19">
        <v>4011</v>
      </c>
      <c r="J541" s="3"/>
      <c r="K541" s="17">
        <v>32979.442780800004</v>
      </c>
      <c r="L541" s="6">
        <v>34077.65822540065</v>
      </c>
      <c r="M541" s="6">
        <v>35178.366586081094</v>
      </c>
      <c r="N541" s="6">
        <v>36307.592153494297</v>
      </c>
    </row>
    <row r="542" spans="1:26" ht="15" customHeight="1" x14ac:dyDescent="0.2">
      <c r="A542" s="18" t="s">
        <v>74</v>
      </c>
      <c r="B542" s="24">
        <v>2026</v>
      </c>
      <c r="C542" s="25" t="s">
        <v>16</v>
      </c>
      <c r="D542" s="26">
        <v>1239</v>
      </c>
      <c r="E542" s="18" t="s">
        <v>17</v>
      </c>
      <c r="F542" s="179"/>
      <c r="G542" s="131">
        <f t="shared" si="44"/>
        <v>0</v>
      </c>
      <c r="H542" s="106">
        <f t="shared" si="45"/>
        <v>0</v>
      </c>
      <c r="I542" s="19" t="s">
        <v>76</v>
      </c>
      <c r="J542" s="3"/>
      <c r="K542" s="17">
        <f>SUM(K539:K541)</f>
        <v>1382841.7633799997</v>
      </c>
      <c r="L542" s="17">
        <f t="shared" ref="L542:N542" si="46">SUM(L539:L541)</f>
        <v>1428890.3941005538</v>
      </c>
      <c r="M542" s="17">
        <f t="shared" si="46"/>
        <v>1475043.5538300017</v>
      </c>
      <c r="N542" s="17">
        <f t="shared" si="46"/>
        <v>1522392.4519079449</v>
      </c>
    </row>
    <row r="543" spans="1:26" ht="15" customHeight="1" x14ac:dyDescent="0.2">
      <c r="A543" s="18" t="s">
        <v>74</v>
      </c>
      <c r="B543" s="22">
        <v>2238</v>
      </c>
      <c r="C543" s="25" t="s">
        <v>21</v>
      </c>
      <c r="D543" s="26">
        <v>8959</v>
      </c>
      <c r="E543" s="18" t="s">
        <v>87</v>
      </c>
      <c r="F543" s="179">
        <v>2340.92</v>
      </c>
      <c r="G543" s="131">
        <f t="shared" si="44"/>
        <v>31836.511999999999</v>
      </c>
      <c r="H543" s="106">
        <f t="shared" si="45"/>
        <v>32979.442780800004</v>
      </c>
      <c r="I543" s="19">
        <v>4500</v>
      </c>
      <c r="J543" s="3"/>
    </row>
    <row r="544" spans="1:26" ht="15" customHeight="1" x14ac:dyDescent="0.2">
      <c r="A544" s="18" t="s">
        <v>74</v>
      </c>
      <c r="B544" s="24">
        <v>2026</v>
      </c>
      <c r="C544" s="25" t="s">
        <v>21</v>
      </c>
      <c r="D544" s="26">
        <v>8960</v>
      </c>
      <c r="E544" s="18" t="s">
        <v>87</v>
      </c>
      <c r="F544" s="179"/>
      <c r="G544" s="131">
        <f t="shared" si="44"/>
        <v>0</v>
      </c>
      <c r="H544" s="106">
        <f t="shared" si="45"/>
        <v>0</v>
      </c>
      <c r="I544" s="19">
        <v>4011</v>
      </c>
      <c r="J544" s="3"/>
      <c r="K544" s="17"/>
    </row>
    <row r="545" spans="1:26" ht="15" customHeight="1" x14ac:dyDescent="0.2">
      <c r="A545" s="18" t="s">
        <v>74</v>
      </c>
      <c r="B545" s="24">
        <v>2026</v>
      </c>
      <c r="C545" s="25" t="s">
        <v>21</v>
      </c>
      <c r="D545" s="26">
        <v>8961</v>
      </c>
      <c r="E545" s="18" t="s">
        <v>87</v>
      </c>
      <c r="F545" s="179"/>
      <c r="G545" s="131">
        <f t="shared" si="44"/>
        <v>0</v>
      </c>
      <c r="H545" s="106">
        <f t="shared" si="45"/>
        <v>0</v>
      </c>
      <c r="I545" s="19">
        <v>4090</v>
      </c>
      <c r="J545" s="3"/>
      <c r="K545" s="17"/>
    </row>
    <row r="546" spans="1:26" ht="15" customHeight="1" x14ac:dyDescent="0.2">
      <c r="A546" s="18" t="s">
        <v>74</v>
      </c>
      <c r="B546" s="24">
        <v>2026</v>
      </c>
      <c r="C546" s="25" t="s">
        <v>21</v>
      </c>
      <c r="D546" s="26">
        <v>4930</v>
      </c>
      <c r="E546" s="18" t="s">
        <v>87</v>
      </c>
      <c r="F546" s="179"/>
      <c r="G546" s="131">
        <f t="shared" si="44"/>
        <v>0</v>
      </c>
      <c r="H546" s="106">
        <f t="shared" si="45"/>
        <v>0</v>
      </c>
      <c r="I546" s="19" t="s">
        <v>76</v>
      </c>
      <c r="J546" s="3"/>
      <c r="K546" s="17"/>
    </row>
    <row r="547" spans="1:26" ht="15" customHeight="1" x14ac:dyDescent="0.2">
      <c r="A547" s="18" t="s">
        <v>74</v>
      </c>
      <c r="B547" s="24">
        <v>2026</v>
      </c>
      <c r="C547" s="25" t="s">
        <v>25</v>
      </c>
      <c r="D547" s="26">
        <v>1245</v>
      </c>
      <c r="E547" s="18" t="s">
        <v>26</v>
      </c>
      <c r="F547" s="179"/>
      <c r="G547" s="131">
        <f t="shared" si="44"/>
        <v>0</v>
      </c>
      <c r="H547" s="106">
        <f t="shared" si="45"/>
        <v>0</v>
      </c>
      <c r="I547" s="19" t="s">
        <v>76</v>
      </c>
      <c r="J547" s="3"/>
      <c r="K547" s="17"/>
    </row>
    <row r="548" spans="1:26" ht="15" customHeight="1" x14ac:dyDescent="0.2">
      <c r="A548" s="18" t="s">
        <v>74</v>
      </c>
      <c r="B548" s="24">
        <v>2026</v>
      </c>
      <c r="C548" s="25" t="s">
        <v>35</v>
      </c>
      <c r="D548" s="26">
        <v>1246</v>
      </c>
      <c r="E548" s="18" t="s">
        <v>26</v>
      </c>
      <c r="F548" s="179"/>
      <c r="G548" s="131">
        <f t="shared" si="44"/>
        <v>0</v>
      </c>
      <c r="H548" s="106">
        <f t="shared" si="45"/>
        <v>0</v>
      </c>
      <c r="I548" s="19">
        <v>4011</v>
      </c>
      <c r="J548" s="3"/>
      <c r="K548" s="17"/>
    </row>
    <row r="549" spans="1:26" ht="15" customHeight="1" x14ac:dyDescent="0.2">
      <c r="A549" s="18" t="s">
        <v>74</v>
      </c>
      <c r="B549" s="22">
        <v>2238</v>
      </c>
      <c r="C549" s="25" t="s">
        <v>35</v>
      </c>
      <c r="D549" s="26">
        <v>1247</v>
      </c>
      <c r="E549" s="18" t="s">
        <v>26</v>
      </c>
      <c r="F549" s="179"/>
      <c r="G549" s="131">
        <f>F549</f>
        <v>0</v>
      </c>
      <c r="H549" s="106">
        <f t="shared" si="45"/>
        <v>0</v>
      </c>
      <c r="I549" s="19">
        <v>4500</v>
      </c>
      <c r="J549" s="3"/>
      <c r="K549" s="17"/>
    </row>
    <row r="550" spans="1:26" ht="15" customHeight="1" x14ac:dyDescent="0.2">
      <c r="A550" s="18" t="s">
        <v>74</v>
      </c>
      <c r="B550" s="24">
        <v>2026</v>
      </c>
      <c r="C550" s="18" t="s">
        <v>172</v>
      </c>
      <c r="D550" s="20">
        <v>1158</v>
      </c>
      <c r="E550" s="18" t="s">
        <v>19</v>
      </c>
      <c r="F550" s="179">
        <f>186129.87/4-F551</f>
        <v>17554.039999999997</v>
      </c>
      <c r="G550" s="131">
        <f>(F550)*$G$27</f>
        <v>238734.94399999996</v>
      </c>
      <c r="H550" s="106">
        <f t="shared" si="45"/>
        <v>247305.52848959996</v>
      </c>
      <c r="I550" s="19" t="s">
        <v>76</v>
      </c>
      <c r="J550" s="3"/>
      <c r="K550" s="17"/>
    </row>
    <row r="551" spans="1:26" ht="15" customHeight="1" x14ac:dyDescent="0.2">
      <c r="A551" s="18" t="s">
        <v>74</v>
      </c>
      <c r="B551" s="24">
        <v>2026</v>
      </c>
      <c r="C551" s="18" t="s">
        <v>173</v>
      </c>
      <c r="D551" s="20">
        <v>1158</v>
      </c>
      <c r="E551" s="18" t="s">
        <v>174</v>
      </c>
      <c r="F551" s="179">
        <f>115913.71/4</f>
        <v>28978.427500000002</v>
      </c>
      <c r="G551" s="131">
        <f>(F551)*$G$27</f>
        <v>394106.614</v>
      </c>
      <c r="H551" s="106">
        <f>(G551/G$26*H$26)*(1+$G$9)*(1+$G$11)*(1+$G$16)</f>
        <v>494854.59568799997</v>
      </c>
      <c r="I551" s="19" t="s">
        <v>76</v>
      </c>
      <c r="J551" s="3"/>
      <c r="K551" s="17"/>
    </row>
    <row r="552" spans="1:26" ht="15" customHeight="1" x14ac:dyDescent="0.2">
      <c r="A552" s="18" t="s">
        <v>74</v>
      </c>
      <c r="B552" s="24">
        <v>2026</v>
      </c>
      <c r="C552" s="25" t="s">
        <v>143</v>
      </c>
      <c r="D552" s="26">
        <v>8962</v>
      </c>
      <c r="E552" s="18" t="s">
        <v>14</v>
      </c>
      <c r="F552" s="179">
        <f>153.81</f>
        <v>153.81</v>
      </c>
      <c r="G552" s="131">
        <f>(F552*1.1)*$E$27</f>
        <v>2030.2919999999999</v>
      </c>
      <c r="H552" s="106">
        <f>G552*(1+$G$9)*(1+$G$11)*(1+$G$16)</f>
        <v>2103.1794828000002</v>
      </c>
      <c r="I552" s="19" t="s">
        <v>76</v>
      </c>
      <c r="J552" s="3"/>
      <c r="K552" s="17"/>
    </row>
    <row r="553" spans="1:26" ht="15" customHeight="1" x14ac:dyDescent="0.2">
      <c r="A553" s="18" t="s">
        <v>74</v>
      </c>
      <c r="B553" s="24">
        <v>2026</v>
      </c>
      <c r="C553" s="25" t="s">
        <v>144</v>
      </c>
      <c r="D553" s="26">
        <v>9150</v>
      </c>
      <c r="E553" s="18" t="s">
        <v>14</v>
      </c>
      <c r="F553" s="179">
        <f>2811.65+360.25</f>
        <v>3171.9</v>
      </c>
      <c r="G553" s="131">
        <f>(F553)*$I$27</f>
        <v>38062.800000000003</v>
      </c>
      <c r="H553" s="106">
        <f>G553*(1+$G$9)*(1+$G$11)*(1+$G$16)</f>
        <v>39429.254520000002</v>
      </c>
      <c r="I553" s="19" t="s">
        <v>76</v>
      </c>
      <c r="J553" s="3"/>
      <c r="K553" s="4"/>
      <c r="L553" s="84"/>
      <c r="M553" s="5"/>
      <c r="N553" s="29"/>
      <c r="R553" s="5"/>
      <c r="S553" s="5"/>
      <c r="T553" s="5"/>
      <c r="U553" s="5"/>
      <c r="V553" s="5"/>
      <c r="W553" s="5"/>
      <c r="X553" s="5"/>
      <c r="Y553" s="5"/>
      <c r="Z553" s="30"/>
    </row>
    <row r="554" spans="1:26" ht="15" customHeight="1" x14ac:dyDescent="0.2">
      <c r="A554" s="18"/>
      <c r="B554" s="24"/>
      <c r="C554" s="25"/>
      <c r="D554" s="26"/>
      <c r="E554" s="18"/>
      <c r="F554" s="179"/>
      <c r="G554" s="131"/>
      <c r="H554" s="106">
        <f>SUM(H535:H553)</f>
        <v>2779510.4036651999</v>
      </c>
      <c r="I554" s="19"/>
      <c r="J554" s="3"/>
      <c r="K554" s="4">
        <f>H554-K542</f>
        <v>1396668.6402852002</v>
      </c>
      <c r="L554" s="4" t="e">
        <f>#REF!-L542</f>
        <v>#REF!</v>
      </c>
      <c r="M554" s="4" t="e">
        <f>#REF!-M542</f>
        <v>#REF!</v>
      </c>
      <c r="N554" s="4" t="e">
        <f>#REF!-N542</f>
        <v>#REF!</v>
      </c>
      <c r="R554" s="5"/>
      <c r="S554" s="5"/>
      <c r="T554" s="5"/>
      <c r="U554" s="5"/>
      <c r="V554" s="5"/>
      <c r="W554" s="5"/>
      <c r="X554" s="5"/>
      <c r="Y554" s="5"/>
      <c r="Z554" s="30"/>
    </row>
    <row r="555" spans="1:26" ht="15" customHeight="1" x14ac:dyDescent="0.2">
      <c r="A555" s="18" t="s">
        <v>74</v>
      </c>
      <c r="B555" s="24">
        <v>2026</v>
      </c>
      <c r="C555" s="25" t="s">
        <v>28</v>
      </c>
      <c r="D555" s="26">
        <v>1382</v>
      </c>
      <c r="E555" s="18" t="s">
        <v>29</v>
      </c>
      <c r="F555" s="181">
        <f>5388.84+299.38</f>
        <v>5688.22</v>
      </c>
      <c r="G555" s="131">
        <f>(F555*1.1)*$E$27</f>
        <v>75084.504000000001</v>
      </c>
      <c r="H555" s="106">
        <f>G555*(1+$G$9)*(1+$G$11)*(1+$G$16)</f>
        <v>77780.03769360001</v>
      </c>
      <c r="I555" s="19" t="s">
        <v>76</v>
      </c>
      <c r="J555" s="3"/>
      <c r="K555" s="17">
        <v>77780.03769360001</v>
      </c>
      <c r="L555" s="6">
        <v>80370.112948796901</v>
      </c>
      <c r="M555" s="6">
        <v>82966.067597043046</v>
      </c>
      <c r="N555" s="6">
        <v>85629.278366908125</v>
      </c>
    </row>
    <row r="556" spans="1:26" ht="15" customHeight="1" x14ac:dyDescent="0.2">
      <c r="A556" s="18" t="s">
        <v>74</v>
      </c>
      <c r="B556" s="24">
        <v>2026</v>
      </c>
      <c r="C556" s="18" t="s">
        <v>18</v>
      </c>
      <c r="D556" s="20">
        <v>1217</v>
      </c>
      <c r="E556" s="18" t="s">
        <v>19</v>
      </c>
      <c r="F556" s="181"/>
      <c r="G556" s="131">
        <f>(F556)*$G$27</f>
        <v>0</v>
      </c>
      <c r="H556" s="106">
        <f>G556*(1+$G$9)*(1+$G$11)*(1+$G$16)</f>
        <v>0</v>
      </c>
      <c r="I556" s="19" t="s">
        <v>76</v>
      </c>
      <c r="J556" s="3"/>
      <c r="K556" s="17"/>
    </row>
    <row r="557" spans="1:26" ht="15" customHeight="1" x14ac:dyDescent="0.2">
      <c r="A557" s="18" t="s">
        <v>74</v>
      </c>
      <c r="B557" s="24">
        <v>2026</v>
      </c>
      <c r="C557" s="25" t="s">
        <v>30</v>
      </c>
      <c r="D557" s="26">
        <v>1163</v>
      </c>
      <c r="E557" s="18" t="s">
        <v>31</v>
      </c>
      <c r="F557" s="179"/>
      <c r="G557" s="131"/>
      <c r="H557" s="106">
        <f>G557*(1+$G$9)*(1+$G$11)*(1+$G$16)</f>
        <v>0</v>
      </c>
      <c r="I557" s="19" t="s">
        <v>76</v>
      </c>
      <c r="J557" s="3"/>
      <c r="K557" s="4"/>
      <c r="L557" s="84"/>
      <c r="M557" s="5"/>
      <c r="N557" s="29"/>
      <c r="R557" s="5"/>
      <c r="S557" s="5"/>
      <c r="T557" s="5"/>
      <c r="U557" s="5"/>
      <c r="V557" s="5"/>
      <c r="W557" s="5"/>
      <c r="X557" s="5"/>
      <c r="Y557" s="5"/>
      <c r="Z557" s="30"/>
    </row>
    <row r="558" spans="1:26" ht="15" customHeight="1" x14ac:dyDescent="0.2">
      <c r="A558" s="111"/>
      <c r="B558" s="112"/>
      <c r="C558" s="113"/>
      <c r="D558" s="114"/>
      <c r="E558" s="111"/>
      <c r="F558" s="180">
        <f>SUM(F535:F557)</f>
        <v>197211.91749999998</v>
      </c>
      <c r="G558" s="123">
        <f>SUM(G535:G557)</f>
        <v>2674670.2259999998</v>
      </c>
      <c r="H558" s="123">
        <f>SUM(H554:H557)</f>
        <v>2857290.4413588</v>
      </c>
      <c r="I558" s="19"/>
      <c r="J558" s="3"/>
      <c r="K558" s="17"/>
    </row>
    <row r="559" spans="1:26" ht="15" customHeight="1" x14ac:dyDescent="0.2">
      <c r="A559" s="18"/>
      <c r="B559" s="24"/>
      <c r="C559" s="25"/>
      <c r="D559" s="26"/>
      <c r="E559" s="18"/>
      <c r="F559" s="179"/>
      <c r="G559" s="131"/>
      <c r="H559" s="106">
        <f t="shared" ref="H559:H571" si="47">G559*(1+$G$9)*(1+$G$11)*(1+$G$16)</f>
        <v>0</v>
      </c>
      <c r="I559" s="19"/>
      <c r="J559" s="3"/>
      <c r="K559" s="17"/>
    </row>
    <row r="560" spans="1:26" ht="15" customHeight="1" x14ac:dyDescent="0.2">
      <c r="A560" s="18" t="s">
        <v>74</v>
      </c>
      <c r="B560" s="240">
        <v>2027</v>
      </c>
      <c r="C560" s="25" t="s">
        <v>16</v>
      </c>
      <c r="D560" s="26">
        <v>1263</v>
      </c>
      <c r="E560" s="18" t="s">
        <v>17</v>
      </c>
      <c r="F560" s="179">
        <v>35858.03</v>
      </c>
      <c r="G560" s="131">
        <f t="shared" ref="G560:G573" si="48">(F560)*$G$27</f>
        <v>487669.20799999998</v>
      </c>
      <c r="H560" s="106">
        <f t="shared" si="47"/>
        <v>505176.53256720002</v>
      </c>
      <c r="I560" s="19">
        <v>4500</v>
      </c>
      <c r="J560" s="3"/>
      <c r="K560" s="17"/>
    </row>
    <row r="561" spans="1:26" ht="15" customHeight="1" x14ac:dyDescent="0.2">
      <c r="A561" s="18"/>
      <c r="B561" s="24">
        <v>2032</v>
      </c>
      <c r="C561" s="25" t="s">
        <v>16</v>
      </c>
      <c r="D561" s="26">
        <v>7584</v>
      </c>
      <c r="E561" s="18" t="s">
        <v>17</v>
      </c>
      <c r="F561" s="179"/>
      <c r="G561" s="131">
        <f t="shared" si="48"/>
        <v>0</v>
      </c>
      <c r="H561" s="106">
        <f t="shared" si="47"/>
        <v>0</v>
      </c>
      <c r="I561" s="19">
        <v>4090</v>
      </c>
      <c r="J561" s="3"/>
      <c r="K561" s="17"/>
    </row>
    <row r="562" spans="1:26" ht="15" customHeight="1" x14ac:dyDescent="0.2">
      <c r="A562" s="18" t="s">
        <v>74</v>
      </c>
      <c r="B562" s="24">
        <v>2237</v>
      </c>
      <c r="C562" s="25" t="s">
        <v>61</v>
      </c>
      <c r="D562" s="26">
        <v>1261</v>
      </c>
      <c r="E562" s="18" t="s">
        <v>75</v>
      </c>
      <c r="F562" s="179"/>
      <c r="G562" s="131">
        <f t="shared" si="48"/>
        <v>0</v>
      </c>
      <c r="H562" s="106">
        <f t="shared" si="47"/>
        <v>0</v>
      </c>
      <c r="I562" s="19">
        <v>4500</v>
      </c>
      <c r="J562" s="3"/>
      <c r="K562" s="17"/>
    </row>
    <row r="563" spans="1:26" ht="15" customHeight="1" x14ac:dyDescent="0.2">
      <c r="A563" s="18" t="s">
        <v>74</v>
      </c>
      <c r="B563" s="24">
        <v>2032</v>
      </c>
      <c r="C563" s="25" t="s">
        <v>61</v>
      </c>
      <c r="D563" s="26">
        <v>1260</v>
      </c>
      <c r="E563" s="18" t="s">
        <v>75</v>
      </c>
      <c r="F563" s="179"/>
      <c r="G563" s="131">
        <f t="shared" si="48"/>
        <v>0</v>
      </c>
      <c r="H563" s="106">
        <f t="shared" si="47"/>
        <v>0</v>
      </c>
      <c r="I563" s="19" t="s">
        <v>88</v>
      </c>
      <c r="J563" s="3"/>
      <c r="K563" s="17"/>
    </row>
    <row r="564" spans="1:26" ht="15" customHeight="1" x14ac:dyDescent="0.2">
      <c r="A564" s="18" t="s">
        <v>74</v>
      </c>
      <c r="B564" s="24">
        <v>2032</v>
      </c>
      <c r="C564" s="25" t="s">
        <v>61</v>
      </c>
      <c r="D564" s="26">
        <v>7585</v>
      </c>
      <c r="E564" s="18" t="s">
        <v>75</v>
      </c>
      <c r="F564" s="179"/>
      <c r="G564" s="131">
        <f t="shared" si="48"/>
        <v>0</v>
      </c>
      <c r="H564" s="106">
        <f t="shared" si="47"/>
        <v>0</v>
      </c>
      <c r="I564" s="19">
        <v>4090</v>
      </c>
      <c r="J564" s="3"/>
      <c r="K564" s="17"/>
    </row>
    <row r="565" spans="1:26" ht="15" customHeight="1" x14ac:dyDescent="0.2">
      <c r="A565" s="18" t="s">
        <v>74</v>
      </c>
      <c r="B565" s="24">
        <v>2032</v>
      </c>
      <c r="C565" s="25" t="s">
        <v>16</v>
      </c>
      <c r="D565" s="26">
        <v>1262</v>
      </c>
      <c r="E565" s="18" t="s">
        <v>17</v>
      </c>
      <c r="F565" s="179"/>
      <c r="G565" s="131">
        <f t="shared" si="48"/>
        <v>0</v>
      </c>
      <c r="H565" s="106">
        <f t="shared" si="47"/>
        <v>0</v>
      </c>
      <c r="I565" s="19" t="s">
        <v>76</v>
      </c>
      <c r="J565" s="3"/>
      <c r="K565" s="17"/>
    </row>
    <row r="566" spans="1:26" ht="15" customHeight="1" x14ac:dyDescent="0.2">
      <c r="A566" s="18" t="s">
        <v>74</v>
      </c>
      <c r="B566" s="24">
        <v>2032</v>
      </c>
      <c r="C566" s="25" t="s">
        <v>21</v>
      </c>
      <c r="D566" s="26">
        <v>7586</v>
      </c>
      <c r="E566" s="18" t="s">
        <v>87</v>
      </c>
      <c r="F566" s="179"/>
      <c r="G566" s="131">
        <f t="shared" si="48"/>
        <v>0</v>
      </c>
      <c r="H566" s="106">
        <f t="shared" si="47"/>
        <v>0</v>
      </c>
      <c r="I566" s="19" t="s">
        <v>76</v>
      </c>
      <c r="J566" s="3"/>
      <c r="K566" s="17"/>
    </row>
    <row r="567" spans="1:26" ht="15" customHeight="1" x14ac:dyDescent="0.2">
      <c r="A567" s="18" t="s">
        <v>74</v>
      </c>
      <c r="B567" s="24">
        <v>2237</v>
      </c>
      <c r="C567" s="25" t="s">
        <v>21</v>
      </c>
      <c r="D567" s="26">
        <v>8963</v>
      </c>
      <c r="E567" s="18" t="s">
        <v>87</v>
      </c>
      <c r="F567" s="179"/>
      <c r="G567" s="131">
        <f t="shared" si="48"/>
        <v>0</v>
      </c>
      <c r="H567" s="106">
        <f t="shared" si="47"/>
        <v>0</v>
      </c>
      <c r="I567" s="19">
        <v>4500</v>
      </c>
      <c r="J567" s="3"/>
      <c r="K567" s="17"/>
    </row>
    <row r="568" spans="1:26" ht="15" customHeight="1" x14ac:dyDescent="0.2">
      <c r="A568" s="18" t="s">
        <v>74</v>
      </c>
      <c r="B568" s="24">
        <v>2032</v>
      </c>
      <c r="C568" s="25" t="s">
        <v>21</v>
      </c>
      <c r="D568" s="26">
        <v>8964</v>
      </c>
      <c r="E568" s="18" t="s">
        <v>87</v>
      </c>
      <c r="F568" s="179"/>
      <c r="G568" s="131">
        <f t="shared" si="48"/>
        <v>0</v>
      </c>
      <c r="H568" s="106">
        <f t="shared" si="47"/>
        <v>0</v>
      </c>
      <c r="I568" s="19">
        <v>4090</v>
      </c>
      <c r="J568" s="3"/>
      <c r="K568" s="17"/>
    </row>
    <row r="569" spans="1:26" ht="15" customHeight="1" x14ac:dyDescent="0.2">
      <c r="A569" s="18" t="s">
        <v>74</v>
      </c>
      <c r="B569" s="24">
        <v>2032</v>
      </c>
      <c r="C569" s="25" t="s">
        <v>25</v>
      </c>
      <c r="D569" s="26">
        <v>1264</v>
      </c>
      <c r="E569" s="18" t="s">
        <v>26</v>
      </c>
      <c r="F569" s="179"/>
      <c r="G569" s="131">
        <f t="shared" si="48"/>
        <v>0</v>
      </c>
      <c r="H569" s="106">
        <f t="shared" si="47"/>
        <v>0</v>
      </c>
      <c r="I569" s="19" t="s">
        <v>76</v>
      </c>
      <c r="J569" s="3"/>
      <c r="K569" s="17"/>
    </row>
    <row r="570" spans="1:26" ht="15" customHeight="1" x14ac:dyDescent="0.2">
      <c r="A570" s="18" t="s">
        <v>74</v>
      </c>
      <c r="B570" s="24">
        <v>2237</v>
      </c>
      <c r="C570" s="25" t="s">
        <v>25</v>
      </c>
      <c r="D570" s="26">
        <v>1265</v>
      </c>
      <c r="E570" s="18" t="s">
        <v>26</v>
      </c>
      <c r="F570" s="179"/>
      <c r="G570" s="131">
        <f t="shared" si="48"/>
        <v>0</v>
      </c>
      <c r="H570" s="106">
        <f t="shared" si="47"/>
        <v>0</v>
      </c>
      <c r="I570" s="19">
        <v>4500</v>
      </c>
      <c r="J570" s="3"/>
      <c r="K570" s="17"/>
    </row>
    <row r="571" spans="1:26" ht="15" customHeight="1" x14ac:dyDescent="0.2">
      <c r="A571" s="18" t="s">
        <v>74</v>
      </c>
      <c r="B571" s="24">
        <v>2032</v>
      </c>
      <c r="C571" s="18" t="s">
        <v>172</v>
      </c>
      <c r="D571" s="20">
        <v>1171</v>
      </c>
      <c r="E571" s="18" t="s">
        <v>19</v>
      </c>
      <c r="F571" s="179">
        <f>49804.84/4-F572</f>
        <v>4697.119999999999</v>
      </c>
      <c r="G571" s="131">
        <f t="shared" si="48"/>
        <v>63880.831999999988</v>
      </c>
      <c r="H571" s="106">
        <f t="shared" si="47"/>
        <v>66174.153868799986</v>
      </c>
      <c r="I571" s="19" t="s">
        <v>76</v>
      </c>
      <c r="J571" s="3"/>
      <c r="K571" s="17"/>
    </row>
    <row r="572" spans="1:26" ht="15" customHeight="1" x14ac:dyDescent="0.2">
      <c r="A572" s="18" t="s">
        <v>74</v>
      </c>
      <c r="B572" s="24">
        <v>2032</v>
      </c>
      <c r="C572" s="18" t="s">
        <v>173</v>
      </c>
      <c r="D572" s="20">
        <v>1171</v>
      </c>
      <c r="E572" s="18" t="s">
        <v>174</v>
      </c>
      <c r="F572" s="179">
        <f>31016.36/4</f>
        <v>7754.09</v>
      </c>
      <c r="G572" s="131">
        <f t="shared" si="48"/>
        <v>105455.624</v>
      </c>
      <c r="H572" s="106">
        <f>(G572/G$26*H$26)*(1+$G$9)*(1+$G$11)*(1+$G$16)</f>
        <v>132413.91624436365</v>
      </c>
      <c r="I572" s="19" t="s">
        <v>76</v>
      </c>
      <c r="J572" s="3"/>
      <c r="K572" s="17"/>
    </row>
    <row r="573" spans="1:26" ht="15" customHeight="1" x14ac:dyDescent="0.2">
      <c r="A573" s="18" t="s">
        <v>74</v>
      </c>
      <c r="B573" s="24">
        <v>2032</v>
      </c>
      <c r="C573" s="25" t="s">
        <v>143</v>
      </c>
      <c r="D573" s="26">
        <v>8965</v>
      </c>
      <c r="E573" s="18" t="s">
        <v>14</v>
      </c>
      <c r="F573" s="179"/>
      <c r="G573" s="131">
        <f t="shared" si="48"/>
        <v>0</v>
      </c>
      <c r="H573" s="106">
        <f>G573*(1+$G$9)*(1+$G$11)*(1+$G$16)</f>
        <v>0</v>
      </c>
      <c r="I573" s="19" t="s">
        <v>76</v>
      </c>
      <c r="J573" s="3"/>
      <c r="K573" s="17"/>
    </row>
    <row r="574" spans="1:26" ht="15" customHeight="1" x14ac:dyDescent="0.2">
      <c r="A574" s="18" t="s">
        <v>74</v>
      </c>
      <c r="B574" s="24">
        <v>2032</v>
      </c>
      <c r="C574" s="25" t="s">
        <v>144</v>
      </c>
      <c r="D574" s="26">
        <v>9151</v>
      </c>
      <c r="E574" s="18" t="s">
        <v>14</v>
      </c>
      <c r="F574" s="179">
        <v>1128.0999999999999</v>
      </c>
      <c r="G574" s="131">
        <f>(F574)*$I$27</f>
        <v>13537.199999999999</v>
      </c>
      <c r="H574" s="106">
        <f>G574*(1+$G$9)*(1+$G$11)*(1+$G$16)</f>
        <v>14023.18548</v>
      </c>
      <c r="I574" s="19" t="s">
        <v>76</v>
      </c>
      <c r="J574" s="3"/>
      <c r="K574" s="4"/>
      <c r="L574" s="84"/>
      <c r="M574" s="5"/>
      <c r="N574" s="29"/>
      <c r="R574" s="5"/>
      <c r="S574" s="5"/>
      <c r="T574" s="5"/>
      <c r="U574" s="5"/>
      <c r="V574" s="5"/>
      <c r="W574" s="5"/>
      <c r="X574" s="5"/>
      <c r="Y574" s="5"/>
      <c r="Z574" s="30"/>
    </row>
    <row r="575" spans="1:26" ht="15" customHeight="1" x14ac:dyDescent="0.2">
      <c r="A575" s="18"/>
      <c r="B575" s="24"/>
      <c r="C575" s="25"/>
      <c r="D575" s="26"/>
      <c r="E575" s="18"/>
      <c r="F575" s="179"/>
      <c r="G575" s="131"/>
      <c r="H575" s="106">
        <f>SUM(H561:H574)</f>
        <v>212611.2555931636</v>
      </c>
      <c r="I575" s="19"/>
      <c r="J575" s="3"/>
      <c r="K575" s="4"/>
      <c r="L575" s="84"/>
      <c r="M575" s="5"/>
      <c r="N575" s="29"/>
      <c r="R575" s="5"/>
      <c r="S575" s="5"/>
      <c r="T575" s="5"/>
      <c r="U575" s="5"/>
      <c r="V575" s="5"/>
      <c r="W575" s="5"/>
      <c r="X575" s="5"/>
      <c r="Y575" s="5"/>
      <c r="Z575" s="30"/>
    </row>
    <row r="576" spans="1:26" ht="15" customHeight="1" x14ac:dyDescent="0.2">
      <c r="A576" s="18" t="s">
        <v>74</v>
      </c>
      <c r="B576" s="24">
        <v>2032</v>
      </c>
      <c r="C576" s="25" t="s">
        <v>28</v>
      </c>
      <c r="D576" s="26">
        <v>1385</v>
      </c>
      <c r="E576" s="18" t="s">
        <v>29</v>
      </c>
      <c r="F576" s="181">
        <v>2095.66</v>
      </c>
      <c r="G576" s="131">
        <f>(F576*1.1)*$E$27</f>
        <v>27662.712</v>
      </c>
      <c r="H576" s="106">
        <f>G576*(1+$G$9)*(1+$G$11)*(1+$G$16)</f>
        <v>28655.803360800001</v>
      </c>
      <c r="I576" s="19" t="s">
        <v>76</v>
      </c>
      <c r="J576" s="3"/>
      <c r="K576" s="17"/>
    </row>
    <row r="577" spans="1:26" ht="15" customHeight="1" x14ac:dyDescent="0.2">
      <c r="A577" s="18" t="s">
        <v>74</v>
      </c>
      <c r="B577" s="24">
        <v>2032</v>
      </c>
      <c r="C577" s="18" t="s">
        <v>18</v>
      </c>
      <c r="D577" s="20">
        <v>1220</v>
      </c>
      <c r="E577" s="18" t="s">
        <v>19</v>
      </c>
      <c r="F577" s="181"/>
      <c r="G577" s="131">
        <f>(F577)*$G$27</f>
        <v>0</v>
      </c>
      <c r="H577" s="106">
        <f>G577*(1+$G$9)*(1+$G$11)*(1+$G$16)</f>
        <v>0</v>
      </c>
      <c r="I577" s="19" t="s">
        <v>76</v>
      </c>
      <c r="J577" s="3"/>
      <c r="K577" s="17"/>
    </row>
    <row r="578" spans="1:26" ht="15" customHeight="1" x14ac:dyDescent="0.2">
      <c r="A578" s="18" t="s">
        <v>74</v>
      </c>
      <c r="B578" s="24">
        <v>2032</v>
      </c>
      <c r="C578" s="25" t="s">
        <v>30</v>
      </c>
      <c r="D578" s="26">
        <v>1172</v>
      </c>
      <c r="E578" s="18" t="s">
        <v>31</v>
      </c>
      <c r="F578" s="179"/>
      <c r="G578" s="131"/>
      <c r="H578" s="106">
        <f>G578*(1+$G$9)*(1+$G$11)*(1+$G$16)</f>
        <v>0</v>
      </c>
      <c r="I578" s="19" t="s">
        <v>76</v>
      </c>
      <c r="J578" s="3"/>
      <c r="K578" s="4"/>
      <c r="L578" s="84"/>
      <c r="M578" s="5"/>
      <c r="N578" s="29"/>
      <c r="R578" s="5"/>
      <c r="S578" s="5"/>
      <c r="T578" s="5"/>
      <c r="U578" s="5"/>
      <c r="V578" s="5"/>
      <c r="W578" s="5"/>
      <c r="X578" s="5"/>
      <c r="Y578" s="5"/>
      <c r="Z578" s="30"/>
    </row>
    <row r="579" spans="1:26" ht="15" customHeight="1" x14ac:dyDescent="0.2">
      <c r="A579" s="111"/>
      <c r="B579" s="112"/>
      <c r="C579" s="113"/>
      <c r="D579" s="114"/>
      <c r="E579" s="111"/>
      <c r="F579" s="180">
        <f>SUM(F560:F578)</f>
        <v>51532.999999999985</v>
      </c>
      <c r="G579" s="123">
        <f>SUM(G560:G578)</f>
        <v>698205.57599999988</v>
      </c>
      <c r="H579" s="123">
        <f>SUM(H575:H578)+H560</f>
        <v>746443.59152116359</v>
      </c>
      <c r="I579" s="19"/>
      <c r="J579" s="3"/>
      <c r="K579" s="17"/>
    </row>
    <row r="580" spans="1:26" ht="15" customHeight="1" x14ac:dyDescent="0.2">
      <c r="A580" s="18" t="s">
        <v>89</v>
      </c>
      <c r="B580" s="24">
        <v>2251</v>
      </c>
      <c r="C580" s="25" t="s">
        <v>16</v>
      </c>
      <c r="D580" s="26">
        <v>8425</v>
      </c>
      <c r="E580" s="18" t="s">
        <v>17</v>
      </c>
      <c r="F580" s="179">
        <v>15710</v>
      </c>
      <c r="G580" s="131">
        <f>(F580)*$G$27</f>
        <v>213656</v>
      </c>
      <c r="H580" s="106">
        <f t="shared" ref="H580:H591" si="49">G580*(1+$G$9)*(1+$G$11)*(1+$G$16)</f>
        <v>221326.25040000002</v>
      </c>
      <c r="I580" s="19" t="s">
        <v>76</v>
      </c>
      <c r="J580" s="3"/>
      <c r="K580" s="17"/>
    </row>
    <row r="581" spans="1:26" ht="15" customHeight="1" x14ac:dyDescent="0.2">
      <c r="A581" s="18" t="s">
        <v>89</v>
      </c>
      <c r="B581" s="24">
        <v>2251</v>
      </c>
      <c r="C581" s="25" t="s">
        <v>21</v>
      </c>
      <c r="D581" s="26">
        <v>8966</v>
      </c>
      <c r="E581" s="18" t="s">
        <v>87</v>
      </c>
      <c r="F581" s="179"/>
      <c r="G581" s="131">
        <f>(F581)*$G$27</f>
        <v>0</v>
      </c>
      <c r="H581" s="106">
        <f t="shared" si="49"/>
        <v>0</v>
      </c>
      <c r="I581" s="19" t="s">
        <v>76</v>
      </c>
      <c r="J581" s="3"/>
      <c r="K581" s="17"/>
    </row>
    <row r="582" spans="1:26" ht="15" customHeight="1" x14ac:dyDescent="0.2">
      <c r="A582" s="18" t="s">
        <v>89</v>
      </c>
      <c r="B582" s="24">
        <v>2251</v>
      </c>
      <c r="C582" s="25" t="s">
        <v>25</v>
      </c>
      <c r="D582" s="26">
        <v>8967</v>
      </c>
      <c r="E582" s="18" t="s">
        <v>26</v>
      </c>
      <c r="F582" s="179"/>
      <c r="G582" s="131">
        <f>(F582)*$G$27</f>
        <v>0</v>
      </c>
      <c r="H582" s="106">
        <f t="shared" si="49"/>
        <v>0</v>
      </c>
      <c r="I582" s="19" t="s">
        <v>76</v>
      </c>
      <c r="J582" s="3"/>
      <c r="K582" s="17"/>
    </row>
    <row r="583" spans="1:26" ht="15" customHeight="1" x14ac:dyDescent="0.2">
      <c r="A583" s="18" t="s">
        <v>89</v>
      </c>
      <c r="B583" s="24">
        <v>2251</v>
      </c>
      <c r="C583" s="25" t="s">
        <v>144</v>
      </c>
      <c r="D583" s="26">
        <v>9152</v>
      </c>
      <c r="E583" s="18" t="s">
        <v>14</v>
      </c>
      <c r="F583" s="179"/>
      <c r="G583" s="131">
        <f>(F583)*$I$27</f>
        <v>0</v>
      </c>
      <c r="H583" s="106">
        <f t="shared" si="49"/>
        <v>0</v>
      </c>
      <c r="I583" s="19" t="s">
        <v>76</v>
      </c>
      <c r="J583" s="3"/>
      <c r="K583" s="17"/>
    </row>
    <row r="584" spans="1:26" ht="15" customHeight="1" x14ac:dyDescent="0.2">
      <c r="A584" s="18" t="s">
        <v>89</v>
      </c>
      <c r="B584" s="24">
        <v>2251</v>
      </c>
      <c r="C584" s="18" t="s">
        <v>38</v>
      </c>
      <c r="D584" s="20">
        <v>8424</v>
      </c>
      <c r="E584" s="18" t="s">
        <v>19</v>
      </c>
      <c r="F584" s="181">
        <f>3220.6+1256.8</f>
        <v>4477.3999999999996</v>
      </c>
      <c r="G584" s="131">
        <f>(F584)*$G$27</f>
        <v>60892.639999999992</v>
      </c>
      <c r="H584" s="106">
        <f t="shared" si="49"/>
        <v>63078.685775999991</v>
      </c>
      <c r="I584" s="19" t="s">
        <v>76</v>
      </c>
      <c r="J584" s="3"/>
      <c r="K584" s="4"/>
      <c r="L584" s="84"/>
      <c r="M584" s="5"/>
      <c r="N584" s="29"/>
      <c r="R584" s="5"/>
      <c r="S584" s="5"/>
      <c r="T584" s="5"/>
      <c r="U584" s="5"/>
      <c r="V584" s="5"/>
      <c r="W584" s="5"/>
      <c r="X584" s="5"/>
      <c r="Y584" s="5"/>
      <c r="Z584" s="30"/>
    </row>
    <row r="585" spans="1:26" ht="15" customHeight="1" x14ac:dyDescent="0.2">
      <c r="A585" s="111"/>
      <c r="B585" s="112"/>
      <c r="C585" s="113"/>
      <c r="D585" s="114"/>
      <c r="E585" s="113"/>
      <c r="F585" s="183"/>
      <c r="G585" s="124"/>
      <c r="H585" s="106">
        <f t="shared" si="49"/>
        <v>0</v>
      </c>
      <c r="I585" s="19"/>
      <c r="J585" s="3"/>
      <c r="K585" s="17"/>
    </row>
    <row r="586" spans="1:26" ht="15" customHeight="1" x14ac:dyDescent="0.2">
      <c r="A586" s="18" t="s">
        <v>90</v>
      </c>
      <c r="B586" s="24">
        <v>2250</v>
      </c>
      <c r="C586" s="25" t="s">
        <v>61</v>
      </c>
      <c r="D586" s="26">
        <v>8508</v>
      </c>
      <c r="E586" s="18" t="s">
        <v>75</v>
      </c>
      <c r="F586" s="179">
        <v>49145.75</v>
      </c>
      <c r="G586" s="131">
        <f t="shared" ref="G586:G591" si="50">(F586)*$G$27</f>
        <v>668382.19999999995</v>
      </c>
      <c r="H586" s="106">
        <f t="shared" si="49"/>
        <v>692377.12098000001</v>
      </c>
      <c r="I586" s="19">
        <v>4511</v>
      </c>
      <c r="J586" s="3"/>
      <c r="K586" s="17"/>
    </row>
    <row r="587" spans="1:26" ht="15" customHeight="1" x14ac:dyDescent="0.2">
      <c r="A587" s="18" t="s">
        <v>90</v>
      </c>
      <c r="B587" s="24">
        <v>2250</v>
      </c>
      <c r="C587" s="25" t="s">
        <v>61</v>
      </c>
      <c r="D587" s="26">
        <v>8513</v>
      </c>
      <c r="E587" s="18" t="s">
        <v>75</v>
      </c>
      <c r="F587" s="179"/>
      <c r="G587" s="131">
        <f t="shared" si="50"/>
        <v>0</v>
      </c>
      <c r="H587" s="106">
        <f t="shared" si="49"/>
        <v>0</v>
      </c>
      <c r="I587" s="19">
        <v>4500</v>
      </c>
      <c r="J587" s="3"/>
      <c r="K587" s="17"/>
    </row>
    <row r="588" spans="1:26" ht="15" customHeight="1" x14ac:dyDescent="0.25">
      <c r="A588" s="18" t="s">
        <v>90</v>
      </c>
      <c r="B588" s="24">
        <v>2250</v>
      </c>
      <c r="C588" s="25" t="s">
        <v>21</v>
      </c>
      <c r="D588" s="26">
        <v>8543</v>
      </c>
      <c r="E588" s="18" t="s">
        <v>17</v>
      </c>
      <c r="F588" s="186">
        <v>28339.4</v>
      </c>
      <c r="G588" s="131">
        <f t="shared" si="50"/>
        <v>385415.84</v>
      </c>
      <c r="H588" s="106">
        <f t="shared" si="49"/>
        <v>399252.26865600003</v>
      </c>
      <c r="I588" s="19">
        <v>4511</v>
      </c>
      <c r="J588" s="3"/>
      <c r="K588" s="17"/>
    </row>
    <row r="589" spans="1:26" ht="15" customHeight="1" x14ac:dyDescent="0.2">
      <c r="A589" s="18" t="s">
        <v>90</v>
      </c>
      <c r="B589" s="24">
        <v>2250</v>
      </c>
      <c r="C589" s="25" t="s">
        <v>16</v>
      </c>
      <c r="D589" s="26">
        <v>8603</v>
      </c>
      <c r="E589" s="18" t="s">
        <v>17</v>
      </c>
      <c r="F589" s="179">
        <f>10258.92+1560.47</f>
        <v>11819.39</v>
      </c>
      <c r="G589" s="131">
        <f t="shared" si="50"/>
        <v>160743.704</v>
      </c>
      <c r="H589" s="106">
        <f t="shared" si="49"/>
        <v>166514.40297359999</v>
      </c>
      <c r="I589" s="19">
        <v>4511</v>
      </c>
      <c r="J589" s="3"/>
      <c r="K589" s="17"/>
      <c r="L589" s="35"/>
      <c r="M589" s="35"/>
    </row>
    <row r="590" spans="1:26" ht="15" customHeight="1" x14ac:dyDescent="0.2">
      <c r="A590" s="18" t="s">
        <v>90</v>
      </c>
      <c r="B590" s="24">
        <v>2250</v>
      </c>
      <c r="C590" s="25" t="s">
        <v>16</v>
      </c>
      <c r="D590" s="26">
        <v>8588</v>
      </c>
      <c r="E590" s="18" t="s">
        <v>17</v>
      </c>
      <c r="F590" s="179"/>
      <c r="G590" s="131">
        <f t="shared" si="50"/>
        <v>0</v>
      </c>
      <c r="H590" s="106">
        <f t="shared" si="49"/>
        <v>0</v>
      </c>
      <c r="I590" s="19">
        <v>4001</v>
      </c>
      <c r="J590" s="3"/>
      <c r="K590" s="17"/>
    </row>
    <row r="591" spans="1:26" ht="15" customHeight="1" x14ac:dyDescent="0.2">
      <c r="A591" s="18" t="s">
        <v>90</v>
      </c>
      <c r="B591" s="24">
        <v>2250</v>
      </c>
      <c r="C591" s="25" t="s">
        <v>16</v>
      </c>
      <c r="D591" s="26">
        <v>8968</v>
      </c>
      <c r="E591" s="25" t="s">
        <v>133</v>
      </c>
      <c r="F591" s="179"/>
      <c r="G591" s="131">
        <f t="shared" si="50"/>
        <v>0</v>
      </c>
      <c r="H591" s="106">
        <f t="shared" si="49"/>
        <v>0</v>
      </c>
      <c r="I591" s="19">
        <v>4500</v>
      </c>
      <c r="J591" s="3"/>
      <c r="K591" s="17"/>
    </row>
    <row r="592" spans="1:26" ht="15" customHeight="1" x14ac:dyDescent="0.2">
      <c r="A592" s="111"/>
      <c r="B592" s="112"/>
      <c r="C592" s="113"/>
      <c r="D592" s="114"/>
      <c r="E592" s="113"/>
      <c r="F592" s="183"/>
      <c r="G592" s="124"/>
      <c r="H592" s="106">
        <f>SUM(H586:H591)</f>
        <v>1258143.7926096001</v>
      </c>
      <c r="I592" s="19"/>
      <c r="J592" s="3"/>
      <c r="K592" s="17"/>
    </row>
    <row r="593" spans="1:26" ht="15" customHeight="1" x14ac:dyDescent="0.2">
      <c r="A593" s="18"/>
      <c r="B593" s="24"/>
      <c r="C593" s="25"/>
      <c r="D593" s="26"/>
      <c r="E593" s="18"/>
      <c r="F593" s="179"/>
      <c r="G593" s="131"/>
      <c r="H593" s="106">
        <f t="shared" ref="H593:H603" si="51">G593*(1+$G$9)*(1+$G$11)*(1+$G$16)</f>
        <v>0</v>
      </c>
      <c r="I593" s="19"/>
      <c r="J593" s="3"/>
      <c r="K593" s="17"/>
    </row>
    <row r="594" spans="1:26" ht="15" customHeight="1" x14ac:dyDescent="0.2">
      <c r="A594" s="18" t="s">
        <v>74</v>
      </c>
      <c r="B594" s="24">
        <v>2029</v>
      </c>
      <c r="C594" s="25" t="s">
        <v>61</v>
      </c>
      <c r="D594" s="26">
        <v>1304</v>
      </c>
      <c r="E594" s="18" t="s">
        <v>75</v>
      </c>
      <c r="F594" s="179"/>
      <c r="G594" s="131">
        <f t="shared" ref="G594:G607" si="52">(F594)*$G$27</f>
        <v>0</v>
      </c>
      <c r="H594" s="106">
        <f t="shared" si="51"/>
        <v>0</v>
      </c>
      <c r="I594" s="19">
        <v>4170</v>
      </c>
      <c r="J594" s="3"/>
      <c r="K594" s="17"/>
    </row>
    <row r="595" spans="1:26" ht="15" customHeight="1" x14ac:dyDescent="0.2">
      <c r="A595" s="18" t="s">
        <v>74</v>
      </c>
      <c r="B595" s="24">
        <v>2029</v>
      </c>
      <c r="C595" s="25" t="s">
        <v>61</v>
      </c>
      <c r="D595" s="26">
        <v>1305</v>
      </c>
      <c r="E595" s="18" t="s">
        <v>75</v>
      </c>
      <c r="F595" s="179"/>
      <c r="G595" s="131">
        <f t="shared" si="52"/>
        <v>0</v>
      </c>
      <c r="H595" s="106">
        <f t="shared" si="51"/>
        <v>0</v>
      </c>
      <c r="I595" s="19">
        <v>4501</v>
      </c>
      <c r="J595" s="3"/>
      <c r="K595" s="17"/>
    </row>
    <row r="596" spans="1:26" ht="15" customHeight="1" x14ac:dyDescent="0.2">
      <c r="A596" s="18" t="s">
        <v>74</v>
      </c>
      <c r="B596" s="24">
        <v>2029</v>
      </c>
      <c r="C596" s="25" t="s">
        <v>61</v>
      </c>
      <c r="D596" s="26">
        <v>1303</v>
      </c>
      <c r="E596" s="18" t="s">
        <v>75</v>
      </c>
      <c r="F596" s="179"/>
      <c r="G596" s="131">
        <f t="shared" si="52"/>
        <v>0</v>
      </c>
      <c r="H596" s="106">
        <f t="shared" si="51"/>
        <v>0</v>
      </c>
      <c r="I596" s="19" t="s">
        <v>76</v>
      </c>
      <c r="J596" s="3"/>
      <c r="K596" s="17"/>
    </row>
    <row r="597" spans="1:26" ht="15" customHeight="1" x14ac:dyDescent="0.2">
      <c r="A597" s="18" t="s">
        <v>74</v>
      </c>
      <c r="B597" s="24">
        <v>2029</v>
      </c>
      <c r="C597" s="25" t="s">
        <v>16</v>
      </c>
      <c r="D597" s="26">
        <v>1307</v>
      </c>
      <c r="E597" s="18" t="s">
        <v>17</v>
      </c>
      <c r="F597" s="179">
        <f>22932-619.47-1415.02</f>
        <v>20897.509999999998</v>
      </c>
      <c r="G597" s="131">
        <f t="shared" si="52"/>
        <v>284206.136</v>
      </c>
      <c r="H597" s="106">
        <f t="shared" si="51"/>
        <v>294409.1362824</v>
      </c>
      <c r="I597" s="19">
        <v>4170</v>
      </c>
      <c r="J597" s="3"/>
      <c r="K597" s="17"/>
    </row>
    <row r="598" spans="1:26" ht="15" customHeight="1" x14ac:dyDescent="0.2">
      <c r="A598" s="18" t="s">
        <v>74</v>
      </c>
      <c r="B598" s="24">
        <v>2029</v>
      </c>
      <c r="C598" s="25" t="s">
        <v>16</v>
      </c>
      <c r="D598" s="26">
        <v>1308</v>
      </c>
      <c r="E598" s="18" t="s">
        <v>17</v>
      </c>
      <c r="F598" s="179">
        <f>21257.48+75.78+454.71</f>
        <v>21787.969999999998</v>
      </c>
      <c r="G598" s="131">
        <f t="shared" si="52"/>
        <v>296316.39199999993</v>
      </c>
      <c r="H598" s="106">
        <f t="shared" si="51"/>
        <v>306954.15047279996</v>
      </c>
      <c r="I598" s="19">
        <v>4501</v>
      </c>
      <c r="J598" s="3"/>
      <c r="K598" s="17"/>
      <c r="L598" s="17"/>
    </row>
    <row r="599" spans="1:26" ht="15" customHeight="1" x14ac:dyDescent="0.2">
      <c r="A599" s="18" t="s">
        <v>74</v>
      </c>
      <c r="B599" s="24">
        <v>2029</v>
      </c>
      <c r="C599" s="25" t="s">
        <v>16</v>
      </c>
      <c r="D599" s="26">
        <v>1306</v>
      </c>
      <c r="E599" s="18" t="s">
        <v>17</v>
      </c>
      <c r="F599" s="179"/>
      <c r="G599" s="131">
        <f t="shared" si="52"/>
        <v>0</v>
      </c>
      <c r="H599" s="106">
        <f t="shared" si="51"/>
        <v>0</v>
      </c>
      <c r="I599" s="19" t="s">
        <v>76</v>
      </c>
      <c r="J599" s="3"/>
      <c r="K599" s="17"/>
    </row>
    <row r="600" spans="1:26" ht="15" customHeight="1" x14ac:dyDescent="0.2">
      <c r="A600" s="18" t="s">
        <v>74</v>
      </c>
      <c r="B600" s="24">
        <v>2029</v>
      </c>
      <c r="C600" s="25" t="s">
        <v>21</v>
      </c>
      <c r="D600" s="26">
        <v>1311</v>
      </c>
      <c r="E600" s="18" t="s">
        <v>17</v>
      </c>
      <c r="F600" s="179">
        <v>454.71</v>
      </c>
      <c r="G600" s="131">
        <f t="shared" si="52"/>
        <v>6184.0559999999996</v>
      </c>
      <c r="H600" s="106">
        <f t="shared" si="51"/>
        <v>6406.0636103999996</v>
      </c>
      <c r="I600" s="19">
        <v>4501</v>
      </c>
      <c r="J600" s="3"/>
      <c r="K600" s="17"/>
    </row>
    <row r="601" spans="1:26" ht="15" customHeight="1" x14ac:dyDescent="0.2">
      <c r="A601" s="18" t="s">
        <v>74</v>
      </c>
      <c r="B601" s="24">
        <v>2029</v>
      </c>
      <c r="C601" s="25" t="s">
        <v>21</v>
      </c>
      <c r="D601" s="26">
        <v>1310</v>
      </c>
      <c r="E601" s="18" t="s">
        <v>17</v>
      </c>
      <c r="F601" s="179"/>
      <c r="G601" s="131">
        <f t="shared" si="52"/>
        <v>0</v>
      </c>
      <c r="H601" s="106">
        <f t="shared" si="51"/>
        <v>0</v>
      </c>
      <c r="I601" s="19" t="s">
        <v>88</v>
      </c>
      <c r="J601" s="3"/>
      <c r="K601" s="17"/>
      <c r="L601" s="35"/>
      <c r="M601" s="35"/>
    </row>
    <row r="602" spans="1:26" ht="15" customHeight="1" x14ac:dyDescent="0.2">
      <c r="A602" s="18" t="s">
        <v>74</v>
      </c>
      <c r="B602" s="24">
        <v>2029</v>
      </c>
      <c r="C602" s="25" t="s">
        <v>21</v>
      </c>
      <c r="D602" s="26">
        <v>7805</v>
      </c>
      <c r="E602" s="18" t="s">
        <v>17</v>
      </c>
      <c r="F602" s="179">
        <v>1415.02</v>
      </c>
      <c r="G602" s="131">
        <f t="shared" si="52"/>
        <v>19244.272000000001</v>
      </c>
      <c r="H602" s="106">
        <f t="shared" si="51"/>
        <v>19935.141364800002</v>
      </c>
      <c r="I602" s="19">
        <v>4170</v>
      </c>
      <c r="J602" s="3"/>
      <c r="K602" s="17"/>
    </row>
    <row r="603" spans="1:26" ht="15" customHeight="1" x14ac:dyDescent="0.2">
      <c r="A603" s="18" t="s">
        <v>74</v>
      </c>
      <c r="B603" s="24">
        <v>2029</v>
      </c>
      <c r="C603" s="18" t="s">
        <v>172</v>
      </c>
      <c r="D603" s="20">
        <v>1168</v>
      </c>
      <c r="E603" s="18" t="s">
        <v>19</v>
      </c>
      <c r="F603" s="179">
        <f>69053.06/4-F604</f>
        <v>6512.4424999999992</v>
      </c>
      <c r="G603" s="131">
        <f t="shared" si="52"/>
        <v>88569.217999999993</v>
      </c>
      <c r="H603" s="106">
        <f t="shared" si="51"/>
        <v>91748.852926199994</v>
      </c>
      <c r="I603" s="19" t="s">
        <v>76</v>
      </c>
      <c r="J603" s="3"/>
      <c r="K603" s="17"/>
    </row>
    <row r="604" spans="1:26" ht="15" customHeight="1" x14ac:dyDescent="0.2">
      <c r="A604" s="18" t="s">
        <v>74</v>
      </c>
      <c r="B604" s="24">
        <v>2029</v>
      </c>
      <c r="C604" s="18" t="s">
        <v>173</v>
      </c>
      <c r="D604" s="20">
        <v>1168</v>
      </c>
      <c r="E604" s="18" t="s">
        <v>174</v>
      </c>
      <c r="F604" s="179">
        <f>43003.29/4</f>
        <v>10750.8225</v>
      </c>
      <c r="G604" s="131">
        <f t="shared" si="52"/>
        <v>146211.18599999999</v>
      </c>
      <c r="H604" s="106">
        <f>(G604/G$26*H$26)*(1+$G$9)*(1+$G$11)*(1+$G$16)</f>
        <v>183588.08191199999</v>
      </c>
      <c r="I604" s="19" t="s">
        <v>76</v>
      </c>
      <c r="J604" s="3"/>
      <c r="K604" s="17"/>
    </row>
    <row r="605" spans="1:26" ht="15" customHeight="1" x14ac:dyDescent="0.2">
      <c r="A605" s="18" t="s">
        <v>74</v>
      </c>
      <c r="B605" s="24">
        <v>2029</v>
      </c>
      <c r="C605" s="25" t="s">
        <v>97</v>
      </c>
      <c r="D605" s="26">
        <v>1312</v>
      </c>
      <c r="E605" s="18" t="s">
        <v>75</v>
      </c>
      <c r="F605" s="179"/>
      <c r="G605" s="131">
        <f t="shared" si="52"/>
        <v>0</v>
      </c>
      <c r="H605" s="106">
        <f>G605*(1+$G$9)*(1+$G$11)*(1+$G$16)</f>
        <v>0</v>
      </c>
      <c r="I605" s="19" t="s">
        <v>88</v>
      </c>
      <c r="J605" s="3"/>
      <c r="K605" s="17"/>
    </row>
    <row r="606" spans="1:26" ht="15" customHeight="1" x14ac:dyDescent="0.2">
      <c r="A606" s="18" t="s">
        <v>74</v>
      </c>
      <c r="B606" s="24">
        <v>2029</v>
      </c>
      <c r="C606" s="25" t="s">
        <v>97</v>
      </c>
      <c r="D606" s="26">
        <v>1313</v>
      </c>
      <c r="E606" s="18" t="s">
        <v>75</v>
      </c>
      <c r="F606" s="179"/>
      <c r="G606" s="131">
        <f t="shared" si="52"/>
        <v>0</v>
      </c>
      <c r="H606" s="106">
        <f>G606*(1+$G$9)*(1+$G$11)*(1+$G$16)</f>
        <v>0</v>
      </c>
      <c r="I606" s="19">
        <v>4501</v>
      </c>
      <c r="J606" s="3"/>
      <c r="K606" s="17"/>
    </row>
    <row r="607" spans="1:26" ht="15" customHeight="1" x14ac:dyDescent="0.2">
      <c r="A607" s="18" t="s">
        <v>74</v>
      </c>
      <c r="B607" s="24">
        <v>2029</v>
      </c>
      <c r="C607" s="25" t="s">
        <v>143</v>
      </c>
      <c r="D607" s="26">
        <v>8969</v>
      </c>
      <c r="E607" s="18" t="s">
        <v>14</v>
      </c>
      <c r="F607" s="179"/>
      <c r="G607" s="131">
        <f t="shared" si="52"/>
        <v>0</v>
      </c>
      <c r="H607" s="106">
        <f>G607*(1+$G$9)*(1+$G$11)*(1+$G$16)</f>
        <v>0</v>
      </c>
      <c r="I607" s="19" t="s">
        <v>76</v>
      </c>
      <c r="J607" s="3"/>
      <c r="K607" s="17"/>
    </row>
    <row r="608" spans="1:26" ht="15" customHeight="1" x14ac:dyDescent="0.2">
      <c r="A608" s="18" t="s">
        <v>74</v>
      </c>
      <c r="B608" s="24">
        <v>2029</v>
      </c>
      <c r="C608" s="25" t="s">
        <v>144</v>
      </c>
      <c r="D608" s="26">
        <v>9153</v>
      </c>
      <c r="E608" s="18" t="s">
        <v>14</v>
      </c>
      <c r="F608" s="179">
        <f>377.5+850.29</f>
        <v>1227.79</v>
      </c>
      <c r="G608" s="131">
        <f>(F608)*$I$27</f>
        <v>14733.48</v>
      </c>
      <c r="H608" s="106">
        <f>G608*(1+$G$9)*(1+$G$11)*(1+$G$16)</f>
        <v>15262.411932000001</v>
      </c>
      <c r="I608" s="19" t="s">
        <v>76</v>
      </c>
      <c r="J608" s="3"/>
      <c r="K608" s="4"/>
      <c r="L608" s="84"/>
      <c r="M608" s="5"/>
      <c r="N608" s="29"/>
      <c r="R608" s="5"/>
      <c r="S608" s="5"/>
      <c r="T608" s="5"/>
      <c r="U608" s="5"/>
      <c r="V608" s="5"/>
      <c r="W608" s="5"/>
      <c r="X608" s="5"/>
      <c r="Y608" s="5"/>
      <c r="Z608" s="30"/>
    </row>
    <row r="609" spans="1:26" ht="15" customHeight="1" x14ac:dyDescent="0.2">
      <c r="A609" s="18"/>
      <c r="B609" s="24"/>
      <c r="C609" s="25"/>
      <c r="D609" s="26"/>
      <c r="E609" s="18"/>
      <c r="F609" s="179"/>
      <c r="G609" s="131"/>
      <c r="H609" s="106">
        <f>SUM(H594:H608)</f>
        <v>918303.83850059996</v>
      </c>
      <c r="I609" s="19"/>
      <c r="J609" s="3"/>
      <c r="K609" s="4"/>
      <c r="L609" s="84"/>
      <c r="M609" s="5"/>
      <c r="N609" s="29"/>
      <c r="R609" s="5"/>
      <c r="S609" s="5"/>
      <c r="T609" s="5"/>
      <c r="U609" s="5"/>
      <c r="V609" s="5"/>
      <c r="W609" s="5"/>
      <c r="X609" s="5"/>
      <c r="Y609" s="5"/>
      <c r="Z609" s="30"/>
    </row>
    <row r="610" spans="1:26" ht="15" customHeight="1" x14ac:dyDescent="0.2">
      <c r="A610" s="18" t="s">
        <v>74</v>
      </c>
      <c r="B610" s="24">
        <v>2029</v>
      </c>
      <c r="C610" s="25" t="s">
        <v>96</v>
      </c>
      <c r="D610" s="26">
        <v>1384</v>
      </c>
      <c r="E610" s="18" t="s">
        <v>29</v>
      </c>
      <c r="F610" s="181">
        <f>1197.52+1796.28</f>
        <v>2993.8</v>
      </c>
      <c r="G610" s="131">
        <f>(F610*1.1)*$E$27</f>
        <v>39518.160000000003</v>
      </c>
      <c r="H610" s="106">
        <f>G610*(1+$G$9)*(1+$G$11)*(1+$G$16)</f>
        <v>40936.861944000004</v>
      </c>
      <c r="I610" s="19" t="s">
        <v>76</v>
      </c>
      <c r="J610" s="3"/>
      <c r="K610" s="17"/>
    </row>
    <row r="611" spans="1:26" ht="15" customHeight="1" x14ac:dyDescent="0.2">
      <c r="A611" s="18" t="s">
        <v>74</v>
      </c>
      <c r="B611" s="24">
        <v>2029</v>
      </c>
      <c r="C611" s="18" t="s">
        <v>38</v>
      </c>
      <c r="D611" s="20">
        <v>1309</v>
      </c>
      <c r="E611" s="18" t="s">
        <v>19</v>
      </c>
      <c r="F611" s="181"/>
      <c r="G611" s="131">
        <f>(F611)*$G$27</f>
        <v>0</v>
      </c>
      <c r="H611" s="106">
        <f>G611*(1+$G$9)*(1+$G$11)*(1+$G$16)</f>
        <v>0</v>
      </c>
      <c r="I611" s="19">
        <v>4501</v>
      </c>
      <c r="J611" s="3"/>
      <c r="K611" s="17"/>
    </row>
    <row r="612" spans="1:26" ht="15" customHeight="1" x14ac:dyDescent="0.2">
      <c r="A612" s="18" t="s">
        <v>74</v>
      </c>
      <c r="B612" s="24">
        <v>2029</v>
      </c>
      <c r="C612" s="18" t="s">
        <v>38</v>
      </c>
      <c r="D612" s="20">
        <v>1219</v>
      </c>
      <c r="E612" s="18" t="s">
        <v>19</v>
      </c>
      <c r="F612" s="181"/>
      <c r="G612" s="131">
        <f>(F612)*$G$27</f>
        <v>0</v>
      </c>
      <c r="H612" s="106">
        <f>G612*(1+$G$9)*(1+$G$11)*(1+$G$16)</f>
        <v>0</v>
      </c>
      <c r="I612" s="19" t="s">
        <v>76</v>
      </c>
      <c r="J612" s="3"/>
      <c r="K612" s="17"/>
    </row>
    <row r="613" spans="1:26" ht="15" customHeight="1" x14ac:dyDescent="0.2">
      <c r="A613" s="18" t="s">
        <v>74</v>
      </c>
      <c r="B613" s="24">
        <v>2029</v>
      </c>
      <c r="C613" s="25" t="s">
        <v>30</v>
      </c>
      <c r="D613" s="26">
        <v>1169</v>
      </c>
      <c r="E613" s="18" t="s">
        <v>31</v>
      </c>
      <c r="F613" s="179"/>
      <c r="G613" s="131"/>
      <c r="H613" s="106">
        <f>G613*(1+$G$9)*(1+$G$11)*(1+$G$16)</f>
        <v>0</v>
      </c>
      <c r="I613" s="19" t="s">
        <v>76</v>
      </c>
      <c r="J613" s="3"/>
      <c r="K613" s="4"/>
      <c r="L613" s="84"/>
      <c r="M613" s="5"/>
      <c r="N613" s="29"/>
      <c r="R613" s="5"/>
      <c r="S613" s="5"/>
      <c r="T613" s="5"/>
      <c r="U613" s="5"/>
      <c r="V613" s="5"/>
      <c r="W613" s="5"/>
      <c r="X613" s="5"/>
      <c r="Y613" s="5"/>
      <c r="Z613" s="30"/>
    </row>
    <row r="614" spans="1:26" ht="15" customHeight="1" x14ac:dyDescent="0.2">
      <c r="A614" s="111"/>
      <c r="B614" s="112"/>
      <c r="C614" s="113"/>
      <c r="D614" s="114"/>
      <c r="E614" s="111"/>
      <c r="F614" s="180">
        <f>SUM(F594:F613)</f>
        <v>66040.064999999988</v>
      </c>
      <c r="G614" s="123">
        <f>SUM(G594:G613)</f>
        <v>894982.89999999991</v>
      </c>
      <c r="H614" s="123">
        <f>SUM(H609:H613)</f>
        <v>959240.70044459996</v>
      </c>
      <c r="I614" s="19"/>
      <c r="J614" s="3"/>
      <c r="K614" s="17">
        <f>H614+H592+H584+H580+H579+H558+H534+H512+H491+H478+H464+H450+H437</f>
        <v>19039353.078743182</v>
      </c>
      <c r="L614" s="17" t="e">
        <f>#REF!+#REF!+#REF!+#REF!+#REF!+#REF!+#REF!+#REF!+#REF!+#REF!+#REF!+#REF!+#REF!</f>
        <v>#REF!</v>
      </c>
      <c r="M614" s="17" t="e">
        <f>#REF!+#REF!+#REF!+#REF!+#REF!+#REF!+#REF!+#REF!+#REF!+#REF!+#REF!+#REF!+#REF!</f>
        <v>#REF!</v>
      </c>
      <c r="N614" s="17" t="e">
        <f>#REF!+#REF!+#REF!+#REF!+#REF!+#REF!+#REF!+#REF!+#REF!+#REF!+#REF!+#REF!+#REF!</f>
        <v>#REF!</v>
      </c>
      <c r="O614" s="17"/>
    </row>
    <row r="615" spans="1:26" ht="15" customHeight="1" x14ac:dyDescent="0.2">
      <c r="A615" s="18" t="s">
        <v>98</v>
      </c>
      <c r="B615" s="24">
        <v>2030</v>
      </c>
      <c r="C615" s="25" t="s">
        <v>99</v>
      </c>
      <c r="D615" s="26">
        <v>1431</v>
      </c>
      <c r="E615" s="18" t="s">
        <v>100</v>
      </c>
      <c r="F615" s="179"/>
      <c r="G615" s="131">
        <f>(F615)*$G$27</f>
        <v>0</v>
      </c>
      <c r="H615" s="106">
        <f t="shared" ref="H615:H620" si="53">G615*(1+$G$9)*(1+$G$11)*(1+$G$16)</f>
        <v>0</v>
      </c>
      <c r="I615" s="19" t="s">
        <v>56</v>
      </c>
      <c r="J615" s="3"/>
      <c r="K615" s="17"/>
      <c r="L615" s="35"/>
      <c r="M615" s="35"/>
    </row>
    <row r="616" spans="1:26" ht="15" customHeight="1" x14ac:dyDescent="0.2">
      <c r="A616" s="18" t="s">
        <v>98</v>
      </c>
      <c r="B616" s="24">
        <v>2030</v>
      </c>
      <c r="C616" s="25" t="s">
        <v>23</v>
      </c>
      <c r="D616" s="26">
        <v>7587</v>
      </c>
      <c r="E616" s="18" t="s">
        <v>101</v>
      </c>
      <c r="F616" s="179"/>
      <c r="G616" s="131">
        <f>(F616)*$G$27</f>
        <v>0</v>
      </c>
      <c r="H616" s="106">
        <f t="shared" si="53"/>
        <v>0</v>
      </c>
      <c r="I616" s="19" t="s">
        <v>56</v>
      </c>
      <c r="J616" s="3"/>
      <c r="K616" s="17"/>
    </row>
    <row r="617" spans="1:26" ht="15" customHeight="1" x14ac:dyDescent="0.2">
      <c r="A617" s="18" t="s">
        <v>98</v>
      </c>
      <c r="B617" s="24">
        <v>2030</v>
      </c>
      <c r="C617" s="25" t="s">
        <v>16</v>
      </c>
      <c r="D617" s="26">
        <v>1387</v>
      </c>
      <c r="E617" s="18" t="s">
        <v>17</v>
      </c>
      <c r="F617" s="179">
        <f>138073.98+1782.74-6042.82-4756.66</f>
        <v>129057.23999999999</v>
      </c>
      <c r="G617" s="131">
        <f>(F617)*$G$27</f>
        <v>1755178.4639999999</v>
      </c>
      <c r="H617" s="106">
        <f t="shared" si="53"/>
        <v>1818189.3708575999</v>
      </c>
      <c r="I617" s="19" t="s">
        <v>56</v>
      </c>
      <c r="J617" s="3"/>
      <c r="K617" s="17"/>
    </row>
    <row r="618" spans="1:26" ht="15" customHeight="1" x14ac:dyDescent="0.2">
      <c r="A618" s="18" t="s">
        <v>98</v>
      </c>
      <c r="B618" s="24">
        <v>2030</v>
      </c>
      <c r="C618" s="25" t="s">
        <v>21</v>
      </c>
      <c r="D618" s="26">
        <v>1389</v>
      </c>
      <c r="E618" s="18" t="s">
        <v>17</v>
      </c>
      <c r="F618" s="179">
        <v>6042.82</v>
      </c>
      <c r="G618" s="131">
        <f>(F618)*$G$27</f>
        <v>82182.351999999999</v>
      </c>
      <c r="H618" s="106">
        <f t="shared" si="53"/>
        <v>85132.698436799998</v>
      </c>
      <c r="I618" s="19" t="s">
        <v>15</v>
      </c>
      <c r="J618" s="3"/>
      <c r="K618" s="17"/>
    </row>
    <row r="619" spans="1:26" ht="15" customHeight="1" x14ac:dyDescent="0.2">
      <c r="A619" s="18" t="s">
        <v>98</v>
      </c>
      <c r="B619" s="24">
        <v>2030</v>
      </c>
      <c r="C619" s="25" t="s">
        <v>35</v>
      </c>
      <c r="D619" s="26">
        <v>1390</v>
      </c>
      <c r="E619" s="18" t="s">
        <v>26</v>
      </c>
      <c r="F619" s="179"/>
      <c r="G619" s="131">
        <f>F619</f>
        <v>0</v>
      </c>
      <c r="H619" s="106">
        <f t="shared" si="53"/>
        <v>0</v>
      </c>
      <c r="I619" s="19" t="s">
        <v>15</v>
      </c>
      <c r="J619" s="3"/>
      <c r="K619" s="17"/>
    </row>
    <row r="620" spans="1:26" ht="15" customHeight="1" x14ac:dyDescent="0.2">
      <c r="A620" s="18" t="s">
        <v>98</v>
      </c>
      <c r="B620" s="24">
        <v>2030</v>
      </c>
      <c r="C620" s="18" t="s">
        <v>172</v>
      </c>
      <c r="D620" s="20">
        <v>1391</v>
      </c>
      <c r="E620" s="18" t="s">
        <v>19</v>
      </c>
      <c r="F620" s="179">
        <f>152493.57/4-F621</f>
        <v>14404.482500000002</v>
      </c>
      <c r="G620" s="131">
        <f>(F620)*$G$27</f>
        <v>195900.96200000003</v>
      </c>
      <c r="H620" s="106">
        <f t="shared" si="53"/>
        <v>202933.80653580005</v>
      </c>
      <c r="I620" s="19" t="s">
        <v>15</v>
      </c>
      <c r="J620" s="3"/>
      <c r="K620" s="17"/>
    </row>
    <row r="621" spans="1:26" ht="15" customHeight="1" x14ac:dyDescent="0.2">
      <c r="A621" s="18" t="s">
        <v>98</v>
      </c>
      <c r="B621" s="24">
        <v>2030</v>
      </c>
      <c r="C621" s="18" t="s">
        <v>173</v>
      </c>
      <c r="D621" s="20">
        <v>1391</v>
      </c>
      <c r="E621" s="18" t="s">
        <v>174</v>
      </c>
      <c r="F621" s="179">
        <f>( 6833.59 + 88042.05 )/4</f>
        <v>23718.91</v>
      </c>
      <c r="G621" s="131">
        <f>(F621)*$G$27</f>
        <v>322577.17599999998</v>
      </c>
      <c r="H621" s="106">
        <f>(G621/G$26*H$26)*(1+$G$9)*(1+$G$11)*(1+$G$16)</f>
        <v>405039.63226472726</v>
      </c>
      <c r="I621" s="19" t="s">
        <v>15</v>
      </c>
      <c r="J621" s="3"/>
      <c r="K621" s="17"/>
    </row>
    <row r="622" spans="1:26" ht="15" customHeight="1" x14ac:dyDescent="0.2">
      <c r="A622" s="18" t="s">
        <v>98</v>
      </c>
      <c r="B622" s="24">
        <v>2030</v>
      </c>
      <c r="C622" s="25" t="s">
        <v>143</v>
      </c>
      <c r="D622" s="26">
        <v>8942</v>
      </c>
      <c r="E622" s="18" t="s">
        <v>14</v>
      </c>
      <c r="F622" s="179"/>
      <c r="G622" s="131">
        <f>(F622)*$G$27</f>
        <v>0</v>
      </c>
      <c r="H622" s="106">
        <f>G622*(1+$G$9)*(1+$G$11)*(1+$G$16)</f>
        <v>0</v>
      </c>
      <c r="I622" s="19" t="s">
        <v>15</v>
      </c>
      <c r="J622" s="3"/>
      <c r="K622" s="17"/>
    </row>
    <row r="623" spans="1:26" ht="15" customHeight="1" x14ac:dyDescent="0.2">
      <c r="A623" s="18" t="s">
        <v>98</v>
      </c>
      <c r="B623" s="24">
        <v>2030</v>
      </c>
      <c r="C623" s="25" t="s">
        <v>144</v>
      </c>
      <c r="D623" s="26">
        <v>9154</v>
      </c>
      <c r="E623" s="18" t="s">
        <v>14</v>
      </c>
      <c r="F623" s="179">
        <f>71.3+2128.56</f>
        <v>2199.86</v>
      </c>
      <c r="G623" s="131">
        <f>(F623)*$I$27</f>
        <v>26398.32</v>
      </c>
      <c r="H623" s="106">
        <f>G623*(1+$G$9)*(1+$G$11)*(1+$G$16)</f>
        <v>27346.019688</v>
      </c>
      <c r="I623" s="19" t="s">
        <v>15</v>
      </c>
      <c r="J623" s="3"/>
      <c r="K623" s="4"/>
      <c r="L623" s="84"/>
      <c r="M623" s="5"/>
      <c r="N623" s="29"/>
      <c r="R623" s="5"/>
      <c r="S623" s="5"/>
      <c r="T623" s="5"/>
      <c r="U623" s="5"/>
      <c r="V623" s="5"/>
      <c r="W623" s="5"/>
      <c r="X623" s="5"/>
      <c r="Y623" s="5"/>
      <c r="Z623" s="30"/>
    </row>
    <row r="624" spans="1:26" ht="15" customHeight="1" x14ac:dyDescent="0.2">
      <c r="A624" s="18"/>
      <c r="B624" s="24"/>
      <c r="C624" s="25"/>
      <c r="D624" s="26"/>
      <c r="E624" s="18"/>
      <c r="F624" s="179"/>
      <c r="G624" s="131"/>
      <c r="H624" s="106">
        <f>SUM(H615:H623)</f>
        <v>2538641.5277829273</v>
      </c>
      <c r="I624" s="19"/>
      <c r="J624" s="3"/>
      <c r="K624" s="4"/>
      <c r="L624" s="84"/>
      <c r="M624" s="5"/>
      <c r="N624" s="29"/>
      <c r="R624" s="5"/>
      <c r="S624" s="5"/>
      <c r="T624" s="5"/>
      <c r="U624" s="5"/>
      <c r="V624" s="5"/>
      <c r="W624" s="5"/>
      <c r="X624" s="5"/>
      <c r="Y624" s="5"/>
      <c r="Z624" s="30"/>
    </row>
    <row r="625" spans="1:26" ht="15" customHeight="1" x14ac:dyDescent="0.2">
      <c r="A625" s="18" t="s">
        <v>98</v>
      </c>
      <c r="B625" s="24">
        <v>2030</v>
      </c>
      <c r="C625" s="25" t="s">
        <v>28</v>
      </c>
      <c r="D625" s="26">
        <v>1432</v>
      </c>
      <c r="E625" s="18" t="s">
        <v>29</v>
      </c>
      <c r="F625" s="179">
        <f>299.38+6286.98</f>
        <v>6586.36</v>
      </c>
      <c r="G625" s="131">
        <f>(F625*1.1)*$E$27</f>
        <v>86939.952000000005</v>
      </c>
      <c r="H625" s="106">
        <f>G625*(1+$G$9)*(1+$G$11)*(1+$G$16)</f>
        <v>90061.096276800003</v>
      </c>
      <c r="I625" s="19" t="s">
        <v>15</v>
      </c>
      <c r="J625" s="3"/>
      <c r="K625" s="17"/>
    </row>
    <row r="626" spans="1:26" ht="15" customHeight="1" x14ac:dyDescent="0.2">
      <c r="A626" s="18" t="s">
        <v>98</v>
      </c>
      <c r="B626" s="24">
        <v>2030</v>
      </c>
      <c r="C626" s="18" t="s">
        <v>18</v>
      </c>
      <c r="D626" s="20">
        <v>1430</v>
      </c>
      <c r="E626" s="18" t="s">
        <v>19</v>
      </c>
      <c r="F626" s="179">
        <f>363.91+9798.95</f>
        <v>10162.86</v>
      </c>
      <c r="G626" s="131">
        <f>(F626)*$G$27</f>
        <v>138214.89600000001</v>
      </c>
      <c r="H626" s="106">
        <f>G626*(1+$G$9)*(1+$G$11)*(1+$G$16)</f>
        <v>143176.81076640001</v>
      </c>
      <c r="I626" s="19" t="s">
        <v>15</v>
      </c>
      <c r="J626" s="3"/>
      <c r="K626" s="17"/>
    </row>
    <row r="627" spans="1:26" ht="15" customHeight="1" x14ac:dyDescent="0.2">
      <c r="A627" s="18" t="s">
        <v>98</v>
      </c>
      <c r="B627" s="24">
        <v>2030</v>
      </c>
      <c r="C627" s="25" t="s">
        <v>30</v>
      </c>
      <c r="D627" s="26">
        <v>1392</v>
      </c>
      <c r="E627" s="18" t="s">
        <v>31</v>
      </c>
      <c r="F627" s="179"/>
      <c r="G627" s="131"/>
      <c r="H627" s="106">
        <f>G627*(1+$G$9)*(1+$G$11)*(1+$G$16)</f>
        <v>0</v>
      </c>
      <c r="I627" s="19" t="s">
        <v>15</v>
      </c>
      <c r="J627" s="3"/>
      <c r="K627" s="4"/>
      <c r="L627" s="84"/>
      <c r="M627" s="5"/>
      <c r="N627" s="29"/>
      <c r="R627" s="5"/>
      <c r="S627" s="5"/>
      <c r="T627" s="5"/>
      <c r="U627" s="5"/>
      <c r="V627" s="5"/>
      <c r="W627" s="5"/>
      <c r="X627" s="5"/>
      <c r="Y627" s="5"/>
      <c r="Z627" s="30"/>
    </row>
    <row r="628" spans="1:26" ht="15" customHeight="1" x14ac:dyDescent="0.2">
      <c r="A628" s="111"/>
      <c r="B628" s="112"/>
      <c r="C628" s="113"/>
      <c r="D628" s="114"/>
      <c r="E628" s="111"/>
      <c r="F628" s="180">
        <f>SUM(F615:F627)</f>
        <v>192172.53249999997</v>
      </c>
      <c r="G628" s="123">
        <f>SUM(G615:G627)</f>
        <v>2607392.122</v>
      </c>
      <c r="H628" s="123">
        <f>SUM(H624:H627)</f>
        <v>2771879.4348261273</v>
      </c>
      <c r="I628" s="19"/>
      <c r="J628" s="3"/>
      <c r="K628" s="17"/>
    </row>
    <row r="629" spans="1:26" ht="15" customHeight="1" x14ac:dyDescent="0.2">
      <c r="A629" s="18" t="s">
        <v>98</v>
      </c>
      <c r="B629" s="22" t="s">
        <v>104</v>
      </c>
      <c r="C629" s="25" t="s">
        <v>16</v>
      </c>
      <c r="D629" s="26">
        <v>1459</v>
      </c>
      <c r="E629" s="18" t="s">
        <v>17</v>
      </c>
      <c r="F629" s="179"/>
      <c r="G629" s="131">
        <f>(F629)*$G$27</f>
        <v>0</v>
      </c>
      <c r="H629" s="106">
        <f t="shared" ref="H629:H652" si="54">G629*(1+$G$9)*(1+$G$11)*(1+$G$16)</f>
        <v>0</v>
      </c>
      <c r="I629" s="19">
        <v>1124</v>
      </c>
      <c r="J629" s="3"/>
      <c r="K629" s="17"/>
    </row>
    <row r="630" spans="1:26" ht="15" customHeight="1" x14ac:dyDescent="0.2">
      <c r="A630" s="18" t="s">
        <v>98</v>
      </c>
      <c r="B630" s="22" t="s">
        <v>104</v>
      </c>
      <c r="C630" s="25" t="s">
        <v>23</v>
      </c>
      <c r="D630" s="26">
        <v>5084</v>
      </c>
      <c r="E630" s="18" t="s">
        <v>17</v>
      </c>
      <c r="F630" s="179"/>
      <c r="G630" s="131">
        <f>(F630)*$G$27</f>
        <v>0</v>
      </c>
      <c r="H630" s="106">
        <f t="shared" si="54"/>
        <v>0</v>
      </c>
      <c r="I630" s="19">
        <v>1124</v>
      </c>
      <c r="J630" s="3"/>
      <c r="K630" s="17"/>
    </row>
    <row r="631" spans="1:26" ht="15" customHeight="1" x14ac:dyDescent="0.2">
      <c r="A631" s="18" t="s">
        <v>98</v>
      </c>
      <c r="B631" s="22" t="s">
        <v>104</v>
      </c>
      <c r="C631" s="25" t="s">
        <v>23</v>
      </c>
      <c r="D631" s="26">
        <v>1513</v>
      </c>
      <c r="E631" s="18" t="s">
        <v>17</v>
      </c>
      <c r="F631" s="179">
        <v>6308.83</v>
      </c>
      <c r="G631" s="131">
        <f>(F631)*$G$27</f>
        <v>85800.088000000003</v>
      </c>
      <c r="H631" s="106">
        <f t="shared" si="54"/>
        <v>88880.311159200006</v>
      </c>
      <c r="I631" s="19" t="s">
        <v>105</v>
      </c>
      <c r="J631" s="3"/>
      <c r="K631" s="17"/>
    </row>
    <row r="632" spans="1:26" ht="15" customHeight="1" x14ac:dyDescent="0.2">
      <c r="A632" s="18"/>
      <c r="B632" s="22" t="s">
        <v>104</v>
      </c>
      <c r="C632" s="25" t="s">
        <v>38</v>
      </c>
      <c r="D632" s="26">
        <v>1512</v>
      </c>
      <c r="E632" s="18" t="s">
        <v>17</v>
      </c>
      <c r="F632" s="179">
        <v>1293.28</v>
      </c>
      <c r="G632" s="131">
        <f>(F632)*$G$27</f>
        <v>17588.608</v>
      </c>
      <c r="H632" s="106">
        <f t="shared" si="54"/>
        <v>18220.0390272</v>
      </c>
      <c r="I632" s="19" t="s">
        <v>105</v>
      </c>
      <c r="J632" s="3"/>
      <c r="K632" s="17">
        <f>H624+H631+H632</f>
        <v>2645741.8779693274</v>
      </c>
      <c r="L632" s="17" t="e">
        <f>#REF!+#REF!+#REF!</f>
        <v>#REF!</v>
      </c>
      <c r="M632" s="17" t="e">
        <f>#REF!+#REF!+#REF!</f>
        <v>#REF!</v>
      </c>
      <c r="N632" s="17" t="e">
        <f>#REF!+#REF!+#REF!</f>
        <v>#REF!</v>
      </c>
    </row>
    <row r="633" spans="1:26" ht="15" customHeight="1" x14ac:dyDescent="0.2">
      <c r="A633" s="18"/>
      <c r="B633" s="22"/>
      <c r="C633" s="25"/>
      <c r="D633" s="26"/>
      <c r="E633" s="18"/>
      <c r="F633" s="179"/>
      <c r="G633" s="131"/>
      <c r="H633" s="106">
        <f t="shared" si="54"/>
        <v>0</v>
      </c>
      <c r="I633" s="19"/>
      <c r="J633" s="3"/>
      <c r="K633" s="27">
        <f>K632+H625+H626</f>
        <v>2878979.7850125274</v>
      </c>
    </row>
    <row r="634" spans="1:26" ht="15" customHeight="1" x14ac:dyDescent="0.2">
      <c r="A634" s="18" t="s">
        <v>98</v>
      </c>
      <c r="B634" s="22">
        <v>2172</v>
      </c>
      <c r="C634" s="25" t="s">
        <v>23</v>
      </c>
      <c r="D634" s="26">
        <v>1560</v>
      </c>
      <c r="E634" s="18" t="s">
        <v>17</v>
      </c>
      <c r="F634" s="187"/>
      <c r="G634" s="131">
        <f>(F634)*$G$27</f>
        <v>0</v>
      </c>
      <c r="H634" s="106">
        <f t="shared" si="54"/>
        <v>0</v>
      </c>
      <c r="I634" s="19">
        <v>1121</v>
      </c>
      <c r="J634" s="3"/>
      <c r="K634" s="17"/>
    </row>
    <row r="635" spans="1:26" ht="15" customHeight="1" x14ac:dyDescent="0.2">
      <c r="A635" s="18" t="s">
        <v>102</v>
      </c>
      <c r="B635" s="24">
        <v>2172</v>
      </c>
      <c r="C635" s="25" t="s">
        <v>16</v>
      </c>
      <c r="D635" s="26">
        <v>1558</v>
      </c>
      <c r="E635" s="18" t="s">
        <v>17</v>
      </c>
      <c r="F635" s="179"/>
      <c r="G635" s="131">
        <f>(F635)*$G$27</f>
        <v>0</v>
      </c>
      <c r="H635" s="106">
        <f t="shared" si="54"/>
        <v>0</v>
      </c>
      <c r="I635" s="19">
        <v>1121</v>
      </c>
      <c r="J635" s="3"/>
      <c r="K635" s="17"/>
      <c r="L635" s="35"/>
    </row>
    <row r="636" spans="1:26" ht="15" customHeight="1" x14ac:dyDescent="0.2">
      <c r="A636" s="18" t="s">
        <v>102</v>
      </c>
      <c r="B636" s="22">
        <v>2172</v>
      </c>
      <c r="C636" s="25" t="s">
        <v>38</v>
      </c>
      <c r="D636" s="26">
        <v>1559</v>
      </c>
      <c r="E636" s="18" t="s">
        <v>19</v>
      </c>
      <c r="F636" s="179"/>
      <c r="G636" s="131">
        <f>(F636)*$G$27</f>
        <v>0</v>
      </c>
      <c r="H636" s="106">
        <f t="shared" si="54"/>
        <v>0</v>
      </c>
      <c r="I636" s="19" t="s">
        <v>56</v>
      </c>
      <c r="J636" s="3"/>
      <c r="K636" s="17"/>
    </row>
    <row r="637" spans="1:26" ht="15" customHeight="1" x14ac:dyDescent="0.2">
      <c r="A637" s="18" t="s">
        <v>102</v>
      </c>
      <c r="B637" s="24">
        <v>2172</v>
      </c>
      <c r="C637" s="25" t="s">
        <v>16</v>
      </c>
      <c r="D637" s="26">
        <v>7784</v>
      </c>
      <c r="E637" s="18" t="s">
        <v>17</v>
      </c>
      <c r="F637" s="179"/>
      <c r="G637" s="131">
        <f>(F637)*$G$27</f>
        <v>0</v>
      </c>
      <c r="H637" s="106">
        <f t="shared" si="54"/>
        <v>0</v>
      </c>
      <c r="I637" s="19" t="s">
        <v>56</v>
      </c>
      <c r="J637" s="3"/>
      <c r="K637" s="17"/>
      <c r="L637" s="35"/>
    </row>
    <row r="638" spans="1:26" ht="15" customHeight="1" x14ac:dyDescent="0.2">
      <c r="A638" s="18"/>
      <c r="B638" s="24"/>
      <c r="C638" s="25"/>
      <c r="D638" s="26"/>
      <c r="E638" s="18"/>
      <c r="F638" s="179"/>
      <c r="G638" s="131">
        <v>0</v>
      </c>
      <c r="H638" s="106">
        <f t="shared" si="54"/>
        <v>0</v>
      </c>
      <c r="I638" s="19"/>
      <c r="J638" s="3"/>
      <c r="K638" s="17"/>
      <c r="L638" s="35"/>
    </row>
    <row r="639" spans="1:26" ht="15" customHeight="1" x14ac:dyDescent="0.2">
      <c r="A639" s="18" t="s">
        <v>103</v>
      </c>
      <c r="B639" s="22">
        <v>2159</v>
      </c>
      <c r="C639" s="25" t="s">
        <v>23</v>
      </c>
      <c r="D639" s="26">
        <v>1449</v>
      </c>
      <c r="E639" s="18" t="s">
        <v>17</v>
      </c>
      <c r="F639" s="179"/>
      <c r="G639" s="131">
        <f>(F639)*$G$27</f>
        <v>0</v>
      </c>
      <c r="H639" s="106">
        <f t="shared" si="54"/>
        <v>0</v>
      </c>
      <c r="I639" s="19">
        <v>1121</v>
      </c>
      <c r="J639" s="3"/>
      <c r="K639" s="17"/>
      <c r="L639" s="35"/>
    </row>
    <row r="640" spans="1:26" ht="15" customHeight="1" x14ac:dyDescent="0.2">
      <c r="A640" s="18" t="s">
        <v>103</v>
      </c>
      <c r="B640" s="22">
        <v>2159</v>
      </c>
      <c r="C640" s="25" t="s">
        <v>16</v>
      </c>
      <c r="D640" s="26">
        <v>1447</v>
      </c>
      <c r="E640" s="18" t="s">
        <v>17</v>
      </c>
      <c r="F640" s="179"/>
      <c r="G640" s="131">
        <f>(F640)*$G$27</f>
        <v>0</v>
      </c>
      <c r="H640" s="106">
        <f t="shared" si="54"/>
        <v>0</v>
      </c>
      <c r="I640" s="19">
        <v>1121</v>
      </c>
      <c r="J640" s="3"/>
      <c r="K640" s="17"/>
    </row>
    <row r="641" spans="1:26" ht="15" customHeight="1" x14ac:dyDescent="0.2">
      <c r="A641" s="18" t="s">
        <v>103</v>
      </c>
      <c r="B641" s="22">
        <v>2159</v>
      </c>
      <c r="C641" s="25" t="s">
        <v>38</v>
      </c>
      <c r="D641" s="26">
        <v>1448</v>
      </c>
      <c r="E641" s="18" t="s">
        <v>19</v>
      </c>
      <c r="F641" s="179"/>
      <c r="G641" s="131">
        <f>(F641)*$G$27</f>
        <v>0</v>
      </c>
      <c r="H641" s="106">
        <f t="shared" si="54"/>
        <v>0</v>
      </c>
      <c r="I641" s="19" t="s">
        <v>56</v>
      </c>
      <c r="J641" s="3"/>
      <c r="K641" s="17"/>
    </row>
    <row r="642" spans="1:26" ht="15" customHeight="1" x14ac:dyDescent="0.2">
      <c r="A642" s="18"/>
      <c r="B642" s="24"/>
      <c r="C642" s="25"/>
      <c r="D642" s="26"/>
      <c r="E642" s="18"/>
      <c r="F642" s="179"/>
      <c r="G642" s="131"/>
      <c r="H642" s="106">
        <f t="shared" si="54"/>
        <v>0</v>
      </c>
      <c r="I642" s="19"/>
      <c r="J642" s="3"/>
      <c r="K642" s="17"/>
    </row>
    <row r="643" spans="1:26" ht="15" customHeight="1" x14ac:dyDescent="0.2">
      <c r="A643" s="18" t="s">
        <v>98</v>
      </c>
      <c r="B643" s="22">
        <v>2250</v>
      </c>
      <c r="C643" s="25" t="s">
        <v>23</v>
      </c>
      <c r="D643" s="26">
        <v>8943</v>
      </c>
      <c r="E643" s="18" t="s">
        <v>17</v>
      </c>
      <c r="F643" s="179"/>
      <c r="G643" s="131">
        <f>(F643)*$G$27</f>
        <v>0</v>
      </c>
      <c r="H643" s="106">
        <f t="shared" si="54"/>
        <v>0</v>
      </c>
      <c r="I643" s="19">
        <v>1121</v>
      </c>
      <c r="J643" s="3"/>
      <c r="K643" s="86"/>
    </row>
    <row r="644" spans="1:26" ht="15" customHeight="1" x14ac:dyDescent="0.2">
      <c r="A644" s="18" t="s">
        <v>98</v>
      </c>
      <c r="B644" s="22">
        <v>2250</v>
      </c>
      <c r="C644" s="25" t="s">
        <v>16</v>
      </c>
      <c r="D644" s="26">
        <v>8944</v>
      </c>
      <c r="E644" s="18" t="s">
        <v>17</v>
      </c>
      <c r="F644" s="179"/>
      <c r="G644" s="131">
        <f>(F644)*$G$27</f>
        <v>0</v>
      </c>
      <c r="H644" s="106">
        <f t="shared" si="54"/>
        <v>0</v>
      </c>
      <c r="I644" s="19">
        <v>1121</v>
      </c>
      <c r="J644" s="3"/>
      <c r="K644" s="17"/>
    </row>
    <row r="645" spans="1:26" ht="15" customHeight="1" x14ac:dyDescent="0.2">
      <c r="A645" s="18"/>
      <c r="B645" s="24"/>
      <c r="C645" s="25"/>
      <c r="D645" s="26"/>
      <c r="E645" s="18"/>
      <c r="F645" s="179"/>
      <c r="G645" s="131"/>
      <c r="H645" s="106">
        <f t="shared" si="54"/>
        <v>0</v>
      </c>
      <c r="I645" s="19"/>
      <c r="J645" s="3"/>
      <c r="K645" s="17"/>
    </row>
    <row r="646" spans="1:26" ht="15" customHeight="1" x14ac:dyDescent="0.2">
      <c r="A646" s="18" t="s">
        <v>106</v>
      </c>
      <c r="B646" s="24">
        <v>2031</v>
      </c>
      <c r="C646" s="25" t="s">
        <v>16</v>
      </c>
      <c r="D646" s="26">
        <v>1610</v>
      </c>
      <c r="E646" s="18" t="s">
        <v>17</v>
      </c>
      <c r="F646" s="179">
        <f>50404.5-5233.37</f>
        <v>45171.13</v>
      </c>
      <c r="G646" s="131">
        <f>(F646)*$G$27</f>
        <v>614327.3679999999</v>
      </c>
      <c r="H646" s="106">
        <f t="shared" si="54"/>
        <v>636381.72051119991</v>
      </c>
      <c r="I646" s="19" t="s">
        <v>56</v>
      </c>
      <c r="J646" s="3"/>
      <c r="K646" s="17"/>
    </row>
    <row r="647" spans="1:26" ht="15" customHeight="1" x14ac:dyDescent="0.2">
      <c r="A647" s="18" t="s">
        <v>106</v>
      </c>
      <c r="B647" s="24">
        <v>2031</v>
      </c>
      <c r="C647" s="25" t="s">
        <v>16</v>
      </c>
      <c r="D647" s="26">
        <v>4928</v>
      </c>
      <c r="E647" s="18" t="s">
        <v>17</v>
      </c>
      <c r="F647" s="179"/>
      <c r="G647" s="131">
        <f>(F647)*$G$27</f>
        <v>0</v>
      </c>
      <c r="H647" s="106">
        <f t="shared" si="54"/>
        <v>0</v>
      </c>
      <c r="I647" s="19">
        <v>1103</v>
      </c>
      <c r="J647" s="3"/>
      <c r="K647" s="17"/>
    </row>
    <row r="648" spans="1:26" ht="15" customHeight="1" x14ac:dyDescent="0.2">
      <c r="A648" s="18" t="s">
        <v>106</v>
      </c>
      <c r="B648" s="24">
        <v>2031</v>
      </c>
      <c r="C648" s="25" t="s">
        <v>21</v>
      </c>
      <c r="D648" s="26">
        <v>1611</v>
      </c>
      <c r="E648" s="18" t="s">
        <v>107</v>
      </c>
      <c r="F648" s="179">
        <v>5233.37</v>
      </c>
      <c r="G648" s="131">
        <f>(F648)*$G$27</f>
        <v>71173.831999999995</v>
      </c>
      <c r="H648" s="106">
        <f t="shared" si="54"/>
        <v>73728.972568800004</v>
      </c>
      <c r="I648" s="19" t="s">
        <v>56</v>
      </c>
      <c r="J648" s="3"/>
      <c r="K648" s="17"/>
    </row>
    <row r="649" spans="1:26" ht="15" customHeight="1" x14ac:dyDescent="0.2">
      <c r="A649" s="18" t="s">
        <v>106</v>
      </c>
      <c r="B649" s="24">
        <v>2031</v>
      </c>
      <c r="C649" s="25" t="s">
        <v>21</v>
      </c>
      <c r="D649" s="26">
        <v>4929</v>
      </c>
      <c r="E649" s="18" t="s">
        <v>107</v>
      </c>
      <c r="F649" s="179"/>
      <c r="G649" s="131">
        <f>(F649)*$G$27</f>
        <v>0</v>
      </c>
      <c r="H649" s="106">
        <f t="shared" si="54"/>
        <v>0</v>
      </c>
      <c r="I649" s="19">
        <v>1103</v>
      </c>
      <c r="J649" s="3"/>
      <c r="K649" s="17"/>
      <c r="N649" s="6">
        <v>0</v>
      </c>
    </row>
    <row r="650" spans="1:26" ht="15" customHeight="1" x14ac:dyDescent="0.2">
      <c r="A650" s="18" t="s">
        <v>106</v>
      </c>
      <c r="B650" s="24">
        <v>2031</v>
      </c>
      <c r="C650" s="25" t="s">
        <v>34</v>
      </c>
      <c r="D650" s="26">
        <v>1612</v>
      </c>
      <c r="E650" s="18" t="s">
        <v>108</v>
      </c>
      <c r="F650" s="179"/>
      <c r="G650" s="131">
        <f>(F650)*$G$27</f>
        <v>0</v>
      </c>
      <c r="H650" s="106">
        <f t="shared" si="54"/>
        <v>0</v>
      </c>
      <c r="I650" s="19" t="s">
        <v>15</v>
      </c>
      <c r="J650" s="3"/>
      <c r="K650" s="17"/>
    </row>
    <row r="651" spans="1:26" ht="15" customHeight="1" x14ac:dyDescent="0.2">
      <c r="A651" s="18" t="s">
        <v>106</v>
      </c>
      <c r="B651" s="24">
        <v>2031</v>
      </c>
      <c r="C651" s="25" t="s">
        <v>35</v>
      </c>
      <c r="D651" s="26">
        <v>1613</v>
      </c>
      <c r="E651" s="18" t="s">
        <v>26</v>
      </c>
      <c r="F651" s="179"/>
      <c r="G651" s="131">
        <f>F651</f>
        <v>0</v>
      </c>
      <c r="H651" s="106">
        <f t="shared" si="54"/>
        <v>0</v>
      </c>
      <c r="I651" s="19" t="s">
        <v>15</v>
      </c>
      <c r="J651" s="3"/>
      <c r="K651" s="17"/>
    </row>
    <row r="652" spans="1:26" ht="15" customHeight="1" x14ac:dyDescent="0.2">
      <c r="A652" s="18" t="s">
        <v>106</v>
      </c>
      <c r="B652" s="24">
        <v>2031</v>
      </c>
      <c r="C652" s="18" t="s">
        <v>172</v>
      </c>
      <c r="D652" s="20">
        <v>1614</v>
      </c>
      <c r="E652" s="18" t="s">
        <v>19</v>
      </c>
      <c r="F652" s="179">
        <f>74176.85/4-F653</f>
        <v>6995.6600000000017</v>
      </c>
      <c r="G652" s="131">
        <f>(F652)*$G$27</f>
        <v>95140.976000000024</v>
      </c>
      <c r="H652" s="106">
        <f t="shared" si="54"/>
        <v>98556.537038400027</v>
      </c>
      <c r="I652" s="19" t="s">
        <v>15</v>
      </c>
      <c r="J652" s="3"/>
      <c r="K652" s="17"/>
    </row>
    <row r="653" spans="1:26" ht="15" customHeight="1" x14ac:dyDescent="0.2">
      <c r="A653" s="18" t="s">
        <v>106</v>
      </c>
      <c r="B653" s="24">
        <v>2031</v>
      </c>
      <c r="C653" s="18" t="s">
        <v>173</v>
      </c>
      <c r="D653" s="20">
        <v>1614</v>
      </c>
      <c r="E653" s="18" t="s">
        <v>174</v>
      </c>
      <c r="F653" s="179">
        <f>46194.21/4</f>
        <v>11548.5525</v>
      </c>
      <c r="G653" s="131">
        <f>(F653)*$G$27</f>
        <v>157060.31399999998</v>
      </c>
      <c r="H653" s="106">
        <f>(G653/G$26*H$26)*(1+$G$9)*(1+$G$11)*(1+$G$16)</f>
        <v>197210.64154254546</v>
      </c>
      <c r="I653" s="19" t="s">
        <v>15</v>
      </c>
      <c r="J653" s="3"/>
      <c r="K653" s="247" t="s">
        <v>182</v>
      </c>
      <c r="L653" s="247"/>
      <c r="M653" s="247"/>
      <c r="N653" s="247"/>
      <c r="O653" s="247"/>
      <c r="P653" s="247"/>
      <c r="Q653" s="247"/>
    </row>
    <row r="654" spans="1:26" ht="15" customHeight="1" x14ac:dyDescent="0.2">
      <c r="A654" s="18" t="s">
        <v>106</v>
      </c>
      <c r="B654" s="24">
        <v>2031</v>
      </c>
      <c r="C654" s="25" t="s">
        <v>143</v>
      </c>
      <c r="D654" s="26">
        <v>8945</v>
      </c>
      <c r="E654" s="18" t="s">
        <v>14</v>
      </c>
      <c r="F654" s="179"/>
      <c r="G654" s="131">
        <f>(F654)*$G$27</f>
        <v>0</v>
      </c>
      <c r="H654" s="106">
        <f>G654*(1+$G$9)*(1+$G$11)*(1+$G$16)</f>
        <v>0</v>
      </c>
      <c r="I654" s="19"/>
      <c r="J654" s="3"/>
      <c r="K654" s="17"/>
      <c r="L654" s="6" t="s">
        <v>177</v>
      </c>
      <c r="M654" s="6">
        <v>2021</v>
      </c>
      <c r="N654" s="6">
        <v>2022</v>
      </c>
      <c r="O654" s="6">
        <v>2023</v>
      </c>
      <c r="P654" s="6">
        <v>2024</v>
      </c>
      <c r="Q654" s="6">
        <v>2025</v>
      </c>
    </row>
    <row r="655" spans="1:26" ht="15" customHeight="1" x14ac:dyDescent="0.2">
      <c r="A655" s="18" t="s">
        <v>106</v>
      </c>
      <c r="B655" s="24">
        <v>2031</v>
      </c>
      <c r="C655" s="25" t="s">
        <v>144</v>
      </c>
      <c r="D655" s="26">
        <v>9155</v>
      </c>
      <c r="E655" s="18" t="s">
        <v>14</v>
      </c>
      <c r="F655" s="179">
        <v>1295.08</v>
      </c>
      <c r="G655" s="131">
        <f>(F655)*$I$27</f>
        <v>15540.96</v>
      </c>
      <c r="H655" s="106">
        <f>G655*(1+$G$9)*(1+$G$11)*(1+$G$16)</f>
        <v>16098.880464</v>
      </c>
      <c r="I655" s="19"/>
      <c r="J655" s="3"/>
      <c r="K655" s="4" t="s">
        <v>184</v>
      </c>
      <c r="L655" s="84"/>
      <c r="M655" s="84"/>
      <c r="N655" s="228">
        <f>H665</f>
        <v>81396985.506095722</v>
      </c>
      <c r="O655" s="228" t="e">
        <f>#REF!</f>
        <v>#REF!</v>
      </c>
      <c r="P655" s="228" t="e">
        <f>#REF!</f>
        <v>#REF!</v>
      </c>
      <c r="Q655" s="228" t="e">
        <f>#REF!</f>
        <v>#REF!</v>
      </c>
      <c r="R655" s="5"/>
      <c r="S655" s="5"/>
      <c r="T655" s="5"/>
      <c r="U655" s="5"/>
      <c r="V655" s="5"/>
      <c r="W655" s="5"/>
      <c r="X655" s="5"/>
      <c r="Y655" s="5"/>
      <c r="Z655" s="30"/>
    </row>
    <row r="656" spans="1:26" ht="15" customHeight="1" x14ac:dyDescent="0.2">
      <c r="A656" s="18"/>
      <c r="B656" s="24"/>
      <c r="C656" s="25"/>
      <c r="D656" s="26"/>
      <c r="E656" s="18"/>
      <c r="F656" s="179"/>
      <c r="G656" s="131"/>
      <c r="H656" s="106">
        <f>SUM(H646:H655)</f>
        <v>1021976.7521249455</v>
      </c>
      <c r="I656" s="19"/>
      <c r="J656" s="3"/>
      <c r="K656" s="4"/>
      <c r="L656" s="84"/>
      <c r="M656" s="84"/>
      <c r="N656" s="231"/>
      <c r="O656" s="231"/>
      <c r="P656" s="231"/>
      <c r="Q656" s="231"/>
      <c r="R656" s="5"/>
      <c r="S656" s="5"/>
      <c r="T656" s="5"/>
      <c r="U656" s="5"/>
      <c r="V656" s="5"/>
      <c r="W656" s="5"/>
      <c r="X656" s="5"/>
      <c r="Y656" s="5"/>
      <c r="Z656" s="30"/>
    </row>
    <row r="657" spans="1:26" ht="15" customHeight="1" x14ac:dyDescent="0.2">
      <c r="A657" s="18" t="s">
        <v>106</v>
      </c>
      <c r="B657" s="24">
        <v>2031</v>
      </c>
      <c r="C657" s="25" t="s">
        <v>28</v>
      </c>
      <c r="D657" s="26">
        <v>1642</v>
      </c>
      <c r="E657" s="18" t="s">
        <v>29</v>
      </c>
      <c r="F657" s="179">
        <v>2694.42</v>
      </c>
      <c r="G657" s="131">
        <f>(F657*1.1)*$E$27</f>
        <v>35566.344000000005</v>
      </c>
      <c r="H657" s="106">
        <f>G657*(1+$G$9)*(1+$G$11)*(1+$G$16)</f>
        <v>36843.175749600006</v>
      </c>
      <c r="I657" s="19" t="s">
        <v>15</v>
      </c>
      <c r="J657" s="3"/>
      <c r="K657" s="17"/>
    </row>
    <row r="658" spans="1:26" ht="15" customHeight="1" x14ac:dyDescent="0.2">
      <c r="A658" s="18" t="s">
        <v>106</v>
      </c>
      <c r="B658" s="24">
        <v>2031</v>
      </c>
      <c r="C658" s="18" t="s">
        <v>18</v>
      </c>
      <c r="D658" s="20">
        <v>1641</v>
      </c>
      <c r="E658" s="18" t="s">
        <v>19</v>
      </c>
      <c r="F658" s="179">
        <v>694.28</v>
      </c>
      <c r="G658" s="131">
        <f>(F658)*$G$27</f>
        <v>9442.2079999999987</v>
      </c>
      <c r="H658" s="106">
        <f>G658*(1+$G$9)*(1+$G$11)*(1+$G$16)</f>
        <v>9781.1832671999982</v>
      </c>
      <c r="I658" s="19" t="s">
        <v>56</v>
      </c>
      <c r="J658" s="3"/>
      <c r="K658" s="17"/>
    </row>
    <row r="659" spans="1:26" ht="15" customHeight="1" x14ac:dyDescent="0.2">
      <c r="A659" s="18" t="s">
        <v>106</v>
      </c>
      <c r="B659" s="24">
        <v>2031</v>
      </c>
      <c r="C659" s="25" t="s">
        <v>30</v>
      </c>
      <c r="D659" s="26">
        <v>1615</v>
      </c>
      <c r="E659" s="18" t="s">
        <v>31</v>
      </c>
      <c r="F659" s="179"/>
      <c r="G659" s="131"/>
      <c r="H659" s="106">
        <f>G659*(1+$G$9)*(1+$G$11)*(1+$G$16)</f>
        <v>0</v>
      </c>
      <c r="I659" s="19" t="s">
        <v>15</v>
      </c>
      <c r="J659" s="3"/>
      <c r="K659" s="4" t="s">
        <v>181</v>
      </c>
      <c r="L659" s="84"/>
      <c r="M659" s="224"/>
      <c r="N659" s="221">
        <f>3158978.58+169713.35</f>
        <v>3328691.93</v>
      </c>
      <c r="O659" s="221">
        <f>2559856.8+137526.05</f>
        <v>2697382.8499999996</v>
      </c>
      <c r="P659" s="221">
        <f>2975754.75+159880.6</f>
        <v>3135635.35</v>
      </c>
      <c r="Q659" s="221">
        <f>3060196.87+164406.39</f>
        <v>3224603.2600000002</v>
      </c>
      <c r="R659" s="5"/>
      <c r="S659" s="5"/>
      <c r="T659" s="5"/>
      <c r="U659" s="5"/>
      <c r="V659" s="5"/>
      <c r="W659" s="5"/>
      <c r="X659" s="5"/>
      <c r="Y659" s="5"/>
      <c r="Z659" s="30"/>
    </row>
    <row r="660" spans="1:26" ht="15" customHeight="1" x14ac:dyDescent="0.25">
      <c r="A660" s="18"/>
      <c r="B660" s="24"/>
      <c r="C660" s="25"/>
      <c r="D660" s="26"/>
      <c r="E660" s="18"/>
      <c r="F660" s="179"/>
      <c r="G660" s="131"/>
      <c r="H660" s="106">
        <f>G660*(1+$G$9)*(1+$G$11)*(1+$G$16)</f>
        <v>0</v>
      </c>
      <c r="I660" s="19" t="s">
        <v>56</v>
      </c>
      <c r="J660" s="3" t="s">
        <v>145</v>
      </c>
      <c r="K660" s="17" t="s">
        <v>178</v>
      </c>
      <c r="L660" s="140">
        <v>7929.17</v>
      </c>
      <c r="M660" s="225">
        <f>(L660)*$G$27</f>
        <v>107836.712</v>
      </c>
      <c r="N660" s="223">
        <f>M660*(1+$G$9)*(1+$G$11)*(1+$G$16)</f>
        <v>111708.04996080001</v>
      </c>
      <c r="O660" s="223" t="e">
        <f>N660*(1+#REF!)*(1+#REF!)*(1+#REF!)</f>
        <v>#REF!</v>
      </c>
      <c r="P660" s="223" t="e">
        <f>O660*(1+#REF!)*(1+#REF!)*(1+#REF!)</f>
        <v>#REF!</v>
      </c>
      <c r="Q660" s="223" t="e">
        <f>P660*(1+#REF!)*(1+#REF!)*(1+#REF!)</f>
        <v>#REF!</v>
      </c>
    </row>
    <row r="661" spans="1:26" ht="15" customHeight="1" x14ac:dyDescent="0.2">
      <c r="A661" s="111"/>
      <c r="B661" s="112"/>
      <c r="C661" s="113"/>
      <c r="D661" s="114"/>
      <c r="E661" s="111"/>
      <c r="F661" s="180">
        <f>SUM(F646:F660)</f>
        <v>73632.492500000008</v>
      </c>
      <c r="G661" s="123">
        <f>SUM(G646:G660)</f>
        <v>998252.00199999998</v>
      </c>
      <c r="H661" s="123">
        <f>SUM(H656:H660)</f>
        <v>1068601.1111417455</v>
      </c>
      <c r="I661" s="19"/>
      <c r="J661" s="3"/>
      <c r="K661" s="17" t="s">
        <v>179</v>
      </c>
      <c r="L661" s="80">
        <f>F35+F48+F61+F74+F93+F111+F124+F133+F149+F177+F201+F239+F263+F286+F311+F344+F357+F366+F404+F417+F430+F443+F461+F471+F484+F505+F531+F551+F572+F604+F621+F653</f>
        <v>526911.875</v>
      </c>
      <c r="M661" s="226">
        <f>G35+G48+G61+G74+G93+G111+G124+G133+G149+G177+G201+G239+G263+G286+G311+G344+G357+G366+G404+G417+G430+G443+G461+G471+G484+G505+G531+G551+G572+G604+G621+G653</f>
        <v>7135112.8460000008</v>
      </c>
      <c r="N661" s="222">
        <f>H35+H48+H61+H74+H93+H107+H120+H133+H148+H173+H197+H235+H259+H282+H305+H340+H353+H366+H404+H417+H430+H443+H457+H471+H484+H505+H527+H551+H572+H604+H621+H653</f>
        <v>14245221.544147633</v>
      </c>
      <c r="O661" s="222" t="e">
        <f>#REF!+#REF!+#REF!+#REF!+#REF!+#REF!+#REF!+#REF!+#REF!+#REF!+#REF!+#REF!+#REF!+#REF!+#REF!+#REF!+#REF!+#REF!+#REF!+#REF!+#REF!+#REF!+#REF!+#REF!+#REF!+#REF!+#REF!+#REF!+#REF!+#REF!+#REF!+#REF!</f>
        <v>#REF!</v>
      </c>
      <c r="P661" s="222" t="e">
        <f>#REF!+#REF!+#REF!+#REF!+#REF!+#REF!+#REF!+#REF!+#REF!+#REF!+#REF!+#REF!+#REF!+#REF!+#REF!+#REF!+#REF!+#REF!+#REF!+#REF!+#REF!+#REF!+#REF!+#REF!+#REF!+#REF!+#REF!+#REF!+#REF!+#REF!+#REF!+#REF!</f>
        <v>#REF!</v>
      </c>
      <c r="Q661" s="222" t="e">
        <f>#REF!+#REF!+#REF!+#REF!+#REF!+#REF!+#REF!+#REF!+#REF!+#REF!+#REF!+#REF!+#REF!+#REF!+#REF!+#REF!+#REF!+#REF!+#REF!+#REF!+#REF!+#REF!+#REF!+#REF!+#REF!+#REF!+#REF!+#REF!+#REF!+#REF!+#REF!+#REF!</f>
        <v>#REF!</v>
      </c>
    </row>
    <row r="662" spans="1:26" ht="15" customHeight="1" x14ac:dyDescent="0.2">
      <c r="A662" s="18" t="s">
        <v>91</v>
      </c>
      <c r="B662" s="242" t="s">
        <v>191</v>
      </c>
      <c r="C662" s="25" t="s">
        <v>36</v>
      </c>
      <c r="D662" s="243" t="s">
        <v>193</v>
      </c>
      <c r="E662" s="25" t="s">
        <v>192</v>
      </c>
      <c r="F662" s="179">
        <v>20464.23</v>
      </c>
      <c r="G662" s="131">
        <f>(F662)*$G$27</f>
        <v>278313.52799999999</v>
      </c>
      <c r="H662" s="106">
        <f>G662*(1+$G$9)*(1+$G$11)*(1+$G$16)</f>
        <v>288304.98365519999</v>
      </c>
      <c r="I662" s="19"/>
      <c r="J662" s="3"/>
      <c r="K662" s="17"/>
    </row>
    <row r="663" spans="1:26" ht="15" customHeight="1" x14ac:dyDescent="0.2">
      <c r="A663" s="246" t="s">
        <v>47</v>
      </c>
      <c r="B663" s="24">
        <v>2201</v>
      </c>
      <c r="C663" s="25" t="s">
        <v>16</v>
      </c>
      <c r="D663" s="26">
        <v>1690</v>
      </c>
      <c r="E663" s="25" t="s">
        <v>92</v>
      </c>
      <c r="F663" s="179"/>
      <c r="G663" s="131">
        <f>(F663*6)</f>
        <v>0</v>
      </c>
      <c r="H663" s="106">
        <f>G663*(1+$G$9)*(1+$G$11)*(1+$G$16)</f>
        <v>0</v>
      </c>
      <c r="I663" s="19" t="s">
        <v>56</v>
      </c>
      <c r="J663" s="3"/>
      <c r="K663" s="17"/>
    </row>
    <row r="664" spans="1:26" ht="15" customHeight="1" x14ac:dyDescent="0.2">
      <c r="A664" s="18" t="s">
        <v>93</v>
      </c>
      <c r="B664" s="22" t="s">
        <v>94</v>
      </c>
      <c r="C664" s="25" t="s">
        <v>194</v>
      </c>
      <c r="D664" s="26">
        <v>1727</v>
      </c>
      <c r="E664" s="25" t="s">
        <v>95</v>
      </c>
      <c r="F664" s="179">
        <v>1335.92</v>
      </c>
      <c r="G664" s="131">
        <f>(F664*8)</f>
        <v>10687.36</v>
      </c>
      <c r="H664" s="106">
        <f>G664*(1+$G$9)*(1+$G$11)*(1+$G$16)</f>
        <v>11071.036224000001</v>
      </c>
      <c r="I664" s="19" t="s">
        <v>56</v>
      </c>
      <c r="J664" s="3"/>
      <c r="K664" s="17"/>
    </row>
    <row r="665" spans="1:26" ht="15" customHeight="1" x14ac:dyDescent="0.2">
      <c r="A665" s="39"/>
      <c r="B665" s="40" t="s">
        <v>109</v>
      </c>
      <c r="C665" s="41"/>
      <c r="D665" s="26"/>
      <c r="E665" s="39"/>
      <c r="F665" s="188">
        <f>F661+F628+F614+F579+F534+F512+F437+F360+F398+F226+F347+F333+F299+F252+F190+F166+F141+F128+F101+F88+F68+F55+F42+F663+F664+F558+F630+F491+F478+F464+F450+F323+F276+F215+F632+F634+F636+F424+F411+F385+F373+F580+F584+F640+F635+F587+F586+F631+F629+F641+F639+F637+F588+F591+F589+F590+F582+F581+F643+F644+F583</f>
        <v>5508847.2799999993</v>
      </c>
      <c r="G665" s="107">
        <f>G661+G628+G614+G579+G534+G512+G437+G360+G398+G226+G347+G333+G299+G252+G190+G166+G141+G128+G101+G88+G68+G55+G42+G663+G664+G558+G630+G491+G478+G464+G450+G323+G276+G215+G632+G634+G636+G424+G411+G385+G373+G580+G584+G640+G635+G587+G586+G631+G629+G641+G639+G637+G588+G591+G589+G590+G582+G581+G643+G644+G583+G662</f>
        <v>75444477.381999999</v>
      </c>
      <c r="H665" s="107">
        <f>H661+H628+H614+H579+H534+H512+H437+H360+H398+H226+H347+H333+H299+H252+H190+H166+H141+H128+H101+H88+H68+H55+H42+H663+H664+H558+H630+H491+H478+H464+H450+H323+H276+H215+H632+H634+H636+H424+H411+H385+H373+H580+H584+H640+H635+H587+H586+H631+H629+H641+H639+H637+H588+H591+H589+H590+H582+H581+H643+H644+H583+H662</f>
        <v>81396985.506095722</v>
      </c>
      <c r="I665" s="41">
        <f>SUM(H665:H665)</f>
        <v>81396985.506095722</v>
      </c>
      <c r="J665" s="3"/>
      <c r="K665" s="17" t="s">
        <v>146</v>
      </c>
      <c r="L665" s="80">
        <f>F39+F52+F65+F79+F98+F111+F138+F153+F177+F201+F239+F263+F286+F311+F344+F357+F370+F408+F421+F434+F447+F461+F475+F488+F509+F531+F555+F576+F610+F625+F657</f>
        <v>239261.06</v>
      </c>
      <c r="M665" s="226">
        <f>G39+G52+G65+G79+G98+G111+G138+G153+G177+G201+G239+G263+G286+G311+G344+G357+G370+G408+G421+G434+G447+G461+G475+G488+G509+G531+G555+G576+G610+G625+G657</f>
        <v>3158245.992000001</v>
      </c>
      <c r="N665" s="222">
        <f>H39+H52+H65+H79+H98+H111+H124+H138+H153+H177+H201+H239+H263+H286+H311+H344+H357+H370+H408+H421+H434+H447+H461+H475+H488+H509+H531+H555+H576+H610+H625+H657</f>
        <v>3274697.2877586</v>
      </c>
      <c r="O665" s="222" t="e">
        <f>#REF!+#REF!+#REF!+#REF!+#REF!+#REF!+#REF!+#REF!+#REF!+#REF!+#REF!+#REF!+#REF!+#REF!+#REF!+#REF!+#REF!+#REF!+#REF!+#REF!+#REF!+#REF!+#REF!+#REF!+#REF!+#REF!+#REF!+#REF!+#REF!+#REF!+#REF!+#REF!</f>
        <v>#REF!</v>
      </c>
      <c r="P665" s="222" t="e">
        <f>#REF!+#REF!+#REF!+#REF!+#REF!+#REF!+#REF!+#REF!+#REF!+#REF!+#REF!+#REF!+#REF!+#REF!+#REF!+#REF!+#REF!+#REF!+#REF!+#REF!+#REF!+#REF!+#REF!+#REF!+#REF!+#REF!+#REF!+#REF!+#REF!+#REF!+#REF!+#REF!</f>
        <v>#REF!</v>
      </c>
      <c r="Q665" s="222" t="e">
        <f>#REF!+#REF!+#REF!+#REF!+#REF!+#REF!+#REF!+#REF!+#REF!+#REF!+#REF!+#REF!+#REF!+#REF!+#REF!+#REF!+#REF!+#REF!+#REF!+#REF!+#REF!+#REF!+#REF!+#REF!+#REF!+#REF!+#REF!+#REF!+#REF!+#REF!+#REF!+#REF!</f>
        <v>#REF!</v>
      </c>
    </row>
    <row r="666" spans="1:26" ht="15" customHeight="1" x14ac:dyDescent="0.2">
      <c r="A666" s="260" t="s">
        <v>168</v>
      </c>
      <c r="B666" s="260"/>
      <c r="C666" s="260"/>
      <c r="D666" s="260"/>
      <c r="E666" s="260"/>
      <c r="F666" s="260"/>
      <c r="G666" s="260"/>
      <c r="H666" s="245">
        <f>H661+H632+H631+H628+H614+H664+H662+H592+H584+H580+H579+H558+H534+H512+H491+H478+H464+H450+H437+H424+H411+H373+H360+H347+H323+H299+H276+H252+H215+H190+H166+H141+H128+H101+H88+H68+H55+H42</f>
        <v>81396985.506095737</v>
      </c>
      <c r="I666" s="43"/>
      <c r="J666" s="42"/>
      <c r="K666" s="17" t="s">
        <v>180</v>
      </c>
      <c r="L666" s="80">
        <f t="shared" ref="L666:N667" si="55">F36+F49+F62+F76+F95+F108+F135+F150+F174+F198+F236+F260+F283+F306+F341+F354+F367+F405+F418+F431+F444+F458+F472+F485+F506+F528+F552+F573+F607+F622+F654</f>
        <v>717.78</v>
      </c>
      <c r="M666" s="226">
        <f t="shared" si="55"/>
        <v>9700.2839999999997</v>
      </c>
      <c r="N666" s="222">
        <f t="shared" si="55"/>
        <v>10048.524195599999</v>
      </c>
      <c r="O666" s="222" t="e">
        <f>#REF!+#REF!+#REF!+#REF!+#REF!+#REF!+#REF!+#REF!+#REF!+#REF!+#REF!+#REF!+#REF!+#REF!+#REF!+#REF!+#REF!+#REF!+#REF!+#REF!+#REF!+#REF!+#REF!+#REF!+#REF!+#REF!+#REF!+#REF!+#REF!+#REF!+#REF!</f>
        <v>#REF!</v>
      </c>
      <c r="P666" s="222" t="e">
        <f>#REF!+#REF!+#REF!+#REF!+#REF!+#REF!+#REF!+#REF!+#REF!+#REF!+#REF!+#REF!+#REF!+#REF!+#REF!+#REF!+#REF!+#REF!+#REF!+#REF!+#REF!+#REF!+#REF!+#REF!+#REF!+#REF!+#REF!+#REF!+#REF!+#REF!+#REF!</f>
        <v>#REF!</v>
      </c>
      <c r="Q666" s="222" t="e">
        <f>#REF!+#REF!+#REF!+#REF!+#REF!+#REF!+#REF!+#REF!+#REF!+#REF!+#REF!+#REF!+#REF!+#REF!+#REF!+#REF!+#REF!+#REF!+#REF!+#REF!+#REF!+#REF!+#REF!+#REF!+#REF!+#REF!+#REF!+#REF!+#REF!+#REF!+#REF!</f>
        <v>#REF!</v>
      </c>
    </row>
    <row r="667" spans="1:26" ht="15" customHeight="1" x14ac:dyDescent="0.2">
      <c r="A667" s="220"/>
      <c r="B667" s="220"/>
      <c r="C667" s="220"/>
      <c r="D667" s="220"/>
      <c r="F667" s="189"/>
      <c r="I667" s="43"/>
      <c r="J667" s="34"/>
      <c r="K667" s="4" t="s">
        <v>6</v>
      </c>
      <c r="L667" s="80">
        <f t="shared" si="55"/>
        <v>78620.25</v>
      </c>
      <c r="M667" s="226">
        <f t="shared" si="55"/>
        <v>943443</v>
      </c>
      <c r="N667" s="222">
        <f t="shared" si="55"/>
        <v>977312.60369999986</v>
      </c>
      <c r="O667" s="222" t="e">
        <f>#REF!+#REF!+#REF!+#REF!+#REF!+#REF!+#REF!+#REF!+#REF!+#REF!+#REF!+#REF!+#REF!+#REF!+#REF!+#REF!+#REF!+#REF!+#REF!+#REF!+#REF!+#REF!+#REF!+#REF!+#REF!+#REF!+#REF!+#REF!+#REF!+#REF!+#REF!</f>
        <v>#REF!</v>
      </c>
      <c r="P667" s="222" t="e">
        <f>#REF!+#REF!+#REF!+#REF!+#REF!+#REF!+#REF!+#REF!+#REF!+#REF!+#REF!+#REF!+#REF!+#REF!+#REF!+#REF!+#REF!+#REF!+#REF!+#REF!+#REF!+#REF!+#REF!+#REF!+#REF!+#REF!+#REF!+#REF!+#REF!+#REF!+#REF!</f>
        <v>#REF!</v>
      </c>
      <c r="Q667" s="222" t="e">
        <f>#REF!+#REF!+#REF!+#REF!+#REF!+#REF!+#REF!+#REF!+#REF!+#REF!+#REF!+#REF!+#REF!+#REF!+#REF!+#REF!+#REF!+#REF!+#REF!+#REF!+#REF!+#REF!+#REF!+#REF!+#REF!+#REF!+#REF!+#REF!+#REF!+#REF!+#REF!</f>
        <v>#REF!</v>
      </c>
      <c r="R667" s="80" t="e">
        <f>I37+I50+I63+I77+I96+I109+I136+I151+I175+I199+I237+I261+I284+I307+I342+I355+I368+I406+I419+I432+I445+I459+I473+I486+I507+I529+I553+I574+I608+I623+I655</f>
        <v>#VALUE!</v>
      </c>
      <c r="S667" s="80">
        <f>J37+J50+J63+J77+J96+J109+J136+J151+J175+J199+J237+J261+J284+J307+J342+J355+J368+J406+J419+J432+J445+J459+J473+J486+J507+J529+J553+J574+J608+J623+J655</f>
        <v>0</v>
      </c>
    </row>
    <row r="668" spans="1:26" ht="15" customHeight="1" x14ac:dyDescent="0.2">
      <c r="A668" s="220"/>
      <c r="B668" s="220"/>
      <c r="C668" s="220"/>
      <c r="D668" s="220"/>
      <c r="F668" s="178" t="s">
        <v>162</v>
      </c>
      <c r="G668" s="133"/>
      <c r="H668" s="220"/>
      <c r="I668" s="43"/>
      <c r="J668" s="34"/>
      <c r="K668" s="17" t="s">
        <v>183</v>
      </c>
      <c r="M668" s="227"/>
      <c r="N668" s="229">
        <f>N659+N660+N661+N665+N666+N667</f>
        <v>21947679.939762633</v>
      </c>
      <c r="O668" s="229" t="e">
        <f>O659+O660+O661+O665+O666+O667</f>
        <v>#REF!</v>
      </c>
      <c r="P668" s="229" t="e">
        <f>P659+P660+P661+P665+P666+P667</f>
        <v>#REF!</v>
      </c>
      <c r="Q668" s="229" t="e">
        <f>Q659+Q660+Q661+Q665+Q666+Q667</f>
        <v>#REF!</v>
      </c>
    </row>
    <row r="669" spans="1:26" ht="15" customHeight="1" thickBot="1" x14ac:dyDescent="0.25">
      <c r="A669" s="44" t="s">
        <v>110</v>
      </c>
      <c r="B669" s="44">
        <v>2205</v>
      </c>
      <c r="C669" s="41" t="s">
        <v>111</v>
      </c>
      <c r="D669" s="87">
        <v>1737</v>
      </c>
      <c r="E669" s="46"/>
      <c r="F669" s="190">
        <f>6587820.56/4</f>
        <v>1646955.14</v>
      </c>
      <c r="G669" s="169">
        <f>F669*14</f>
        <v>23057371.959999997</v>
      </c>
      <c r="H669" s="106">
        <f>G669*(1+$G$9)*(1+$G$11)*(1+$G$16)</f>
        <v>23885131.613364</v>
      </c>
      <c r="I669" s="45" t="s">
        <v>112</v>
      </c>
      <c r="J669" s="34"/>
      <c r="K669" s="17" t="s">
        <v>185</v>
      </c>
      <c r="N669" s="230">
        <f>N655-N668</f>
        <v>59449305.566333085</v>
      </c>
      <c r="O669" s="230" t="e">
        <f>O655-O668</f>
        <v>#REF!</v>
      </c>
      <c r="P669" s="230" t="e">
        <f>P655-P668</f>
        <v>#REF!</v>
      </c>
      <c r="Q669" s="230" t="e">
        <f>Q655-Q668</f>
        <v>#REF!</v>
      </c>
    </row>
    <row r="670" spans="1:26" ht="15" customHeight="1" x14ac:dyDescent="0.2">
      <c r="A670" s="143" t="s">
        <v>113</v>
      </c>
      <c r="B670" s="144">
        <v>2205</v>
      </c>
      <c r="C670" s="145" t="s">
        <v>114</v>
      </c>
      <c r="D670" s="146">
        <v>1738</v>
      </c>
      <c r="E670" s="147"/>
      <c r="F670" s="191">
        <f>847816.24/4</f>
        <v>211954.06</v>
      </c>
      <c r="G670" s="148">
        <f>F670*14</f>
        <v>2967356.84</v>
      </c>
      <c r="H670" s="149">
        <f>G670*(1+$G$9)*(1+$G$11)*(1+$G$16)</f>
        <v>3073884.9505559998</v>
      </c>
      <c r="I670" s="45" t="s">
        <v>112</v>
      </c>
      <c r="J670" s="3"/>
      <c r="K670" s="168">
        <f>0.27/12</f>
        <v>2.2500000000000003E-2</v>
      </c>
      <c r="L670" s="17"/>
      <c r="M670" s="17"/>
    </row>
    <row r="671" spans="1:26" ht="15" customHeight="1" x14ac:dyDescent="0.2">
      <c r="A671" s="150"/>
      <c r="B671" s="40" t="s">
        <v>109</v>
      </c>
      <c r="C671" s="151"/>
      <c r="D671" s="152"/>
      <c r="E671" s="150"/>
      <c r="F671" s="192">
        <f t="shared" ref="F671:H671" si="56">SUM(F669:F670)</f>
        <v>1858909.2</v>
      </c>
      <c r="G671" s="153">
        <f t="shared" si="56"/>
        <v>26024728.799999997</v>
      </c>
      <c r="H671" s="154">
        <f t="shared" si="56"/>
        <v>26959016.563919999</v>
      </c>
      <c r="I671" s="43"/>
      <c r="J671" s="3"/>
      <c r="K671" s="17"/>
      <c r="L671" s="17"/>
      <c r="M671" s="17"/>
    </row>
    <row r="672" spans="1:26" ht="15" customHeight="1" x14ac:dyDescent="0.2">
      <c r="A672" s="5"/>
      <c r="D672" s="248" t="s">
        <v>115</v>
      </c>
      <c r="E672" s="249"/>
      <c r="F672" s="249"/>
      <c r="G672" s="249"/>
      <c r="H672" s="249"/>
    </row>
    <row r="673" spans="1:10" ht="15" customHeight="1" x14ac:dyDescent="0.2">
      <c r="A673" s="5"/>
      <c r="E673" s="47" t="s">
        <v>116</v>
      </c>
      <c r="F673" s="48" t="s">
        <v>117</v>
      </c>
      <c r="G673" s="193" t="s">
        <v>117</v>
      </c>
      <c r="H673" s="6"/>
      <c r="I673" s="6"/>
      <c r="J673" s="6"/>
    </row>
    <row r="674" spans="1:10" ht="15" customHeight="1" x14ac:dyDescent="0.2">
      <c r="A674" s="5"/>
      <c r="E674" s="49" t="s">
        <v>13</v>
      </c>
      <c r="F674" s="50">
        <f>G42</f>
        <v>2065693.0600000003</v>
      </c>
      <c r="G674" s="194">
        <f>H42</f>
        <v>2185373.7653779639</v>
      </c>
      <c r="H674" s="6"/>
      <c r="I674" s="6"/>
      <c r="J674" s="6"/>
    </row>
    <row r="675" spans="1:10" ht="15" customHeight="1" x14ac:dyDescent="0.2">
      <c r="A675" s="5"/>
      <c r="E675" s="49" t="s">
        <v>118</v>
      </c>
      <c r="F675" s="50">
        <f>G55</f>
        <v>660343.54</v>
      </c>
      <c r="G675" s="194">
        <f>H55</f>
        <v>705811.75435019995</v>
      </c>
      <c r="H675" s="6"/>
      <c r="I675" s="6"/>
      <c r="J675" s="6"/>
    </row>
    <row r="676" spans="1:10" ht="15" customHeight="1" x14ac:dyDescent="0.2">
      <c r="A676" s="5"/>
      <c r="E676" s="49" t="s">
        <v>119</v>
      </c>
      <c r="F676" s="50">
        <f>G68</f>
        <v>1676274.4460000005</v>
      </c>
      <c r="G676" s="194">
        <f>H68</f>
        <v>1797109.2808020546</v>
      </c>
      <c r="H676" s="6"/>
      <c r="I676" s="6"/>
      <c r="J676" s="6"/>
    </row>
    <row r="677" spans="1:10" ht="15" customHeight="1" x14ac:dyDescent="0.2">
      <c r="A677" s="5"/>
      <c r="E677" s="49" t="s">
        <v>39</v>
      </c>
      <c r="F677" s="50">
        <f>G88</f>
        <v>8795669.2340000011</v>
      </c>
      <c r="G677" s="194">
        <f>H88</f>
        <v>10002289.811371638</v>
      </c>
      <c r="H677" s="6"/>
      <c r="I677" s="6"/>
      <c r="J677" s="6"/>
    </row>
    <row r="678" spans="1:10" ht="15" customHeight="1" x14ac:dyDescent="0.2">
      <c r="A678" s="5"/>
      <c r="E678" s="49" t="s">
        <v>41</v>
      </c>
      <c r="F678" s="50">
        <f>G101</f>
        <v>2543617.0459999996</v>
      </c>
      <c r="G678" s="194">
        <f>H101</f>
        <v>2741649.5848055449</v>
      </c>
      <c r="H678" s="6"/>
      <c r="I678" s="6"/>
      <c r="J678" s="6"/>
    </row>
    <row r="679" spans="1:10" ht="15" customHeight="1" x14ac:dyDescent="0.2">
      <c r="A679" s="5"/>
      <c r="E679" s="49" t="s">
        <v>120</v>
      </c>
      <c r="F679" s="50">
        <f>G102+G112+G103+G104+G105+G107+G111+G108+G109+G113+G106</f>
        <v>457038.71599999996</v>
      </c>
      <c r="G679" s="194">
        <f>H102+H112+H103+H104+H105+H107+H111+H108+H109+H113+H106</f>
        <v>480667.76770380005</v>
      </c>
      <c r="H679" s="6"/>
      <c r="I679" s="6"/>
      <c r="J679" s="6"/>
    </row>
    <row r="680" spans="1:10" ht="15" customHeight="1" x14ac:dyDescent="0.2">
      <c r="A680" s="5"/>
      <c r="E680" s="49" t="s">
        <v>121</v>
      </c>
      <c r="F680" s="50">
        <f>G115+G125+G116+G117+G118+G120+G124+G121+G122+G126+G119</f>
        <v>143447.30600000001</v>
      </c>
      <c r="G680" s="194">
        <f>H115+H125+H116+H117+H118+H120+H124+H121+H122+H126+H119</f>
        <v>151855.76598441819</v>
      </c>
      <c r="H680" s="6"/>
      <c r="I680" s="6"/>
      <c r="J680" s="6"/>
    </row>
    <row r="681" spans="1:10" ht="15" customHeight="1" x14ac:dyDescent="0.2">
      <c r="A681" s="5"/>
      <c r="E681" s="49" t="s">
        <v>122</v>
      </c>
      <c r="F681" s="50">
        <f>G141</f>
        <v>5485220.4980000006</v>
      </c>
      <c r="G681" s="194">
        <f>H141</f>
        <v>5876701.3899636557</v>
      </c>
      <c r="H681" s="6"/>
      <c r="I681" s="6"/>
      <c r="J681" s="6"/>
    </row>
    <row r="682" spans="1:10" ht="15" customHeight="1" x14ac:dyDescent="0.2">
      <c r="A682" s="5"/>
      <c r="E682" s="49" t="s">
        <v>123</v>
      </c>
      <c r="F682" s="50">
        <f>G360</f>
        <v>370580.63200000004</v>
      </c>
      <c r="G682" s="194">
        <f>H360</f>
        <v>396060.77175425453</v>
      </c>
      <c r="H682" s="6"/>
      <c r="I682" s="6"/>
      <c r="J682" s="6"/>
    </row>
    <row r="683" spans="1:10" ht="15" customHeight="1" x14ac:dyDescent="0.2">
      <c r="A683" s="5"/>
      <c r="E683" s="52" t="s">
        <v>124</v>
      </c>
      <c r="F683" s="53">
        <f>G385</f>
        <v>0</v>
      </c>
      <c r="G683" s="195">
        <f>H385</f>
        <v>0</v>
      </c>
      <c r="H683" s="6"/>
      <c r="I683" s="6"/>
      <c r="J683" s="6"/>
    </row>
    <row r="684" spans="1:10" ht="15" customHeight="1" x14ac:dyDescent="0.2">
      <c r="A684" s="5"/>
      <c r="E684" s="52" t="s">
        <v>98</v>
      </c>
      <c r="F684" s="53">
        <f>G628+G631+G632+G634+G635+G636+G637+G639+G640+G641+G643+G644</f>
        <v>2710780.818</v>
      </c>
      <c r="G684" s="195">
        <f>H628+H631+H632+H634+H635+H636+H637+H639+H640+H641+H643+H644</f>
        <v>2878979.7850125274</v>
      </c>
      <c r="H684" s="6"/>
      <c r="I684" s="6"/>
      <c r="J684" s="6"/>
    </row>
    <row r="685" spans="1:10" ht="15" customHeight="1" x14ac:dyDescent="0.2">
      <c r="A685" s="5"/>
      <c r="E685" s="54" t="s">
        <v>125</v>
      </c>
      <c r="F685" s="55">
        <f>G661</f>
        <v>998252.00199999998</v>
      </c>
      <c r="G685" s="196">
        <f>H661</f>
        <v>1068601.1111417455</v>
      </c>
      <c r="H685" s="6"/>
      <c r="I685" s="6"/>
      <c r="J685" s="6"/>
    </row>
    <row r="686" spans="1:10" ht="15" customHeight="1" x14ac:dyDescent="0.2">
      <c r="A686" s="5"/>
      <c r="E686" s="54" t="s">
        <v>126</v>
      </c>
      <c r="F686" s="55">
        <f>G663+G664</f>
        <v>10687.36</v>
      </c>
      <c r="G686" s="196">
        <f>H663+H664</f>
        <v>11071.036224000001</v>
      </c>
      <c r="H686" s="6"/>
      <c r="I686" s="6"/>
      <c r="J686" s="6"/>
    </row>
    <row r="687" spans="1:10" ht="15" customHeight="1" x14ac:dyDescent="0.2">
      <c r="A687" s="5"/>
      <c r="E687" s="57" t="s">
        <v>56</v>
      </c>
      <c r="F687" s="58">
        <f>SUM(F674:F686)</f>
        <v>25917604.658</v>
      </c>
      <c r="G687" s="197">
        <f>SUM(G674:G686)</f>
        <v>28296171.824491806</v>
      </c>
      <c r="H687" s="5"/>
      <c r="I687" s="5"/>
      <c r="J687" s="5"/>
    </row>
    <row r="688" spans="1:10" ht="15" customHeight="1" x14ac:dyDescent="0.2">
      <c r="A688" s="5"/>
      <c r="E688" s="59" t="s">
        <v>57</v>
      </c>
      <c r="F688" s="35">
        <f>G156+G157+G158+G159+G160+G161+G162+G163+G164+G165+G180+G181+G182+G183+G184+G185+G186+G187+G188+G189+G204+G205+G206+G207+G208+G209+G211+G212+G213+G214+G216+G217+G218+G219+G220+G221+G222+G223+G224+G225+G242+G243+G244+G245+G246+G247+G249+G248+G250+G251+G266+G267+G268+G269+G271+G272+G273+G274+G275+G288+G289+G290+G291+G292+G293+G294+G295+G296+G297+G298+G314+G315+G316+G317+G318+G308+G319+G320+G321+G322+G347+G373+G398+G424+G270+G309+G210</f>
        <v>6026438.6839999994</v>
      </c>
      <c r="G688" s="198">
        <f>H156+H157+H158+H159+H160+H161+H162+H163+H164+H165+H180+H181+H182+H183+H184+H185+H186+H187+H188+H189+H204+H205+H206+H207+H208+H209+H211+H212+H213+H214+H216+H217+H218+H219+H220+H221+H222+H223+H224+H225+H242+H243+H244+H245+H246+H247+H249+H248+H250+H251+H266+H267+H268+H269+H271+H272+H273+H274+H275+H288+H289+H290+H291+H292+H293+H294+H295+H296+H297+H298+H314+H315+H316+H317+H318+H308+H319+H320+H321+H322+H347+H373+H398+H424+H270+H309+H210</f>
        <v>6484803.3370561637</v>
      </c>
      <c r="H688" s="6"/>
      <c r="I688" s="6"/>
      <c r="J688" s="6"/>
    </row>
    <row r="689" spans="1:203" ht="15" customHeight="1" x14ac:dyDescent="0.2">
      <c r="A689" s="5"/>
      <c r="E689" s="60" t="s">
        <v>127</v>
      </c>
      <c r="F689" s="61">
        <f>E704</f>
        <v>17800566.886</v>
      </c>
      <c r="G689" s="199">
        <f>F704</f>
        <v>19039353.078743186</v>
      </c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</row>
    <row r="690" spans="1:203" ht="15" customHeight="1" thickBot="1" x14ac:dyDescent="0.25">
      <c r="A690" s="5"/>
      <c r="E690" s="62" t="s">
        <v>128</v>
      </c>
      <c r="F690" s="63">
        <f>F687+F688+F689</f>
        <v>49744610.228</v>
      </c>
      <c r="G690" s="200">
        <f>G687+G688+G689</f>
        <v>53820328.240291163</v>
      </c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</row>
    <row r="691" spans="1:203" ht="15" customHeight="1" x14ac:dyDescent="0.2">
      <c r="A691" s="5"/>
      <c r="E691" s="64" t="s">
        <v>53</v>
      </c>
      <c r="F691" s="65">
        <f>G142+G143+G154+G144+G145+G146+G148+G149+G153+G150+G151+G167+G168+G178+G170+G171+G173+G177+G174+G175+G191+G192+G193+G202+G194+G195+G197+G201+G198+G199+G229+G230+G231+G240+G232+G233+G235+G239+G236+G237+G253+G254+G255+G264+G256+G257+G259+G263+G260+G261+G277+G278+G287+G279+G280+G282+G286+G283+G284+G300+G301+G312+G302+G303+G305+G311+G306+G307+G333+G411+G147+G172+G196+G234+G258+G281+G304</f>
        <v>25421553.625999995</v>
      </c>
      <c r="G691" s="201">
        <f>H142+H143+H154+H144+H145+H146+H148+H149+H153+H150+H151+H167+H168+H178+H170+H171+H173+H177+H174+H175+H191+H192+H193+H202+H194+H195+H197+H201+H198+H199+H229+H230+H231+H240+H232+H233+H235+H239+H236+H237+H253+H254+H255+H264+H256+H257+H259+H263+H260+H261+H277+H278+H287+H279+H280+H282+H286+H283+H284+H300+H301+H312+H302+H303+H305+H311+H306+H307+H333+H411+H147+H172+H196+H234+H258+H281+H304</f>
        <v>27288352.282149378</v>
      </c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</row>
    <row r="692" spans="1:203" ht="15" customHeight="1" thickBot="1" x14ac:dyDescent="0.25">
      <c r="A692" s="5"/>
      <c r="E692" s="66" t="s">
        <v>109</v>
      </c>
      <c r="F692" s="67">
        <f>F690+F691</f>
        <v>75166163.854000002</v>
      </c>
      <c r="G692" s="202">
        <f>G690+G691</f>
        <v>81108680.522440538</v>
      </c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</row>
    <row r="693" spans="1:203" ht="15" customHeight="1" thickTop="1" x14ac:dyDescent="0.2">
      <c r="A693" s="5"/>
      <c r="E693" s="5"/>
      <c r="F693" s="51">
        <f>F692-G665</f>
        <v>-278313.52799999714</v>
      </c>
      <c r="G693" s="203">
        <f>G692-H665</f>
        <v>-288304.98365518451</v>
      </c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</row>
    <row r="694" spans="1:203" ht="15" customHeight="1" x14ac:dyDescent="0.2">
      <c r="A694" s="5"/>
      <c r="E694" s="74" t="s">
        <v>175</v>
      </c>
      <c r="F694" s="217"/>
      <c r="G694" s="218">
        <f>G691+G688+G682</f>
        <v>34169216.390959799</v>
      </c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</row>
    <row r="695" spans="1:203" ht="15" customHeight="1" x14ac:dyDescent="0.2">
      <c r="A695" s="68"/>
      <c r="D695" s="261" t="s">
        <v>129</v>
      </c>
      <c r="E695" s="262"/>
      <c r="F695" s="262"/>
      <c r="G695" s="262"/>
      <c r="H695" s="26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</row>
    <row r="696" spans="1:203" ht="15" customHeight="1" x14ac:dyDescent="0.2">
      <c r="A696" s="2"/>
      <c r="D696" s="71" t="s">
        <v>130</v>
      </c>
      <c r="E696" s="163" t="s">
        <v>171</v>
      </c>
      <c r="F696" s="204">
        <v>2022</v>
      </c>
      <c r="G696" s="165">
        <v>2023</v>
      </c>
      <c r="H696" s="166">
        <v>2024</v>
      </c>
      <c r="I696" s="69"/>
      <c r="J696" s="69"/>
      <c r="K696" s="69"/>
      <c r="L696" s="69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</row>
    <row r="697" spans="1:203" ht="15" customHeight="1" x14ac:dyDescent="0.2">
      <c r="A697" s="2"/>
      <c r="D697" s="72" t="s">
        <v>76</v>
      </c>
      <c r="E697" s="139">
        <f>G437+G450+G464+G478+G491+G584+G581+G580</f>
        <v>9175679.1359999999</v>
      </c>
      <c r="F697" s="205">
        <f>H437+H450+H464+H478+H491+H584+H581+H580</f>
        <v>9840173.8170710206</v>
      </c>
      <c r="G697" s="139" t="e">
        <f>#REF!+#REF!+#REF!+#REF!+#REF!+#REF!+#REF!+#REF!</f>
        <v>#REF!</v>
      </c>
      <c r="H697" s="139" t="e">
        <f>#REF!+#REF!+#REF!+#REF!+#REF!+#REF!+#REF!+#REF!</f>
        <v>#REF!</v>
      </c>
      <c r="I697" s="5"/>
      <c r="J697" s="5"/>
      <c r="K697" s="5"/>
      <c r="L697" s="5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  <c r="AM697" s="69"/>
      <c r="AN697" s="69"/>
      <c r="AO697" s="69"/>
      <c r="AP697" s="69"/>
      <c r="AQ697" s="69"/>
      <c r="AR697" s="69"/>
      <c r="AS697" s="69"/>
      <c r="AT697" s="69"/>
      <c r="AU697" s="69"/>
      <c r="AV697" s="69"/>
      <c r="AW697" s="69"/>
      <c r="AX697" s="69"/>
      <c r="AY697" s="69"/>
      <c r="AZ697" s="69"/>
      <c r="BA697" s="69"/>
      <c r="BB697" s="69"/>
      <c r="BC697" s="69"/>
      <c r="BD697" s="69"/>
      <c r="BE697" s="69"/>
      <c r="BF697" s="69"/>
      <c r="BG697" s="69"/>
      <c r="BH697" s="69"/>
      <c r="BI697" s="69"/>
      <c r="BJ697" s="69"/>
      <c r="BK697" s="69"/>
      <c r="BL697" s="69"/>
      <c r="BM697" s="69"/>
      <c r="BN697" s="69"/>
      <c r="BO697" s="69"/>
      <c r="BP697" s="69"/>
      <c r="BQ697" s="69"/>
      <c r="BR697" s="69"/>
      <c r="BS697" s="69"/>
      <c r="BT697" s="69"/>
      <c r="BU697" s="69"/>
      <c r="BV697" s="69"/>
      <c r="BW697" s="69"/>
      <c r="BX697" s="69"/>
      <c r="BY697" s="69"/>
      <c r="BZ697" s="69"/>
      <c r="CA697" s="69"/>
      <c r="CB697" s="69"/>
      <c r="CC697" s="69"/>
      <c r="CD697" s="69"/>
      <c r="CE697" s="69"/>
      <c r="CF697" s="69"/>
      <c r="CG697" s="69"/>
      <c r="CH697" s="69"/>
      <c r="CI697" s="69"/>
      <c r="CJ697" s="69"/>
      <c r="CK697" s="69"/>
      <c r="CL697" s="69"/>
      <c r="CM697" s="69"/>
      <c r="CN697" s="69"/>
      <c r="CO697" s="69"/>
      <c r="CP697" s="69"/>
      <c r="CQ697" s="69"/>
      <c r="CR697" s="69"/>
      <c r="CS697" s="69"/>
      <c r="CT697" s="69"/>
      <c r="CU697" s="69"/>
      <c r="CV697" s="69"/>
      <c r="CW697" s="69"/>
      <c r="CX697" s="69"/>
      <c r="CY697" s="69"/>
      <c r="CZ697" s="69"/>
      <c r="DA697" s="69"/>
      <c r="DB697" s="69"/>
      <c r="DC697" s="69"/>
      <c r="DD697" s="69"/>
      <c r="DE697" s="69"/>
      <c r="DF697" s="69"/>
      <c r="DG697" s="69"/>
      <c r="DH697" s="69"/>
      <c r="DI697" s="69"/>
      <c r="DJ697" s="69"/>
      <c r="DK697" s="69"/>
      <c r="DL697" s="69"/>
      <c r="DM697" s="69"/>
      <c r="DN697" s="69"/>
      <c r="DO697" s="69"/>
      <c r="DP697" s="69"/>
      <c r="DQ697" s="69"/>
      <c r="DR697" s="69"/>
      <c r="DS697" s="69"/>
      <c r="DT697" s="69"/>
      <c r="DU697" s="69"/>
      <c r="DV697" s="69"/>
      <c r="DW697" s="69"/>
      <c r="DX697" s="69"/>
      <c r="DY697" s="69"/>
      <c r="DZ697" s="69"/>
      <c r="EA697" s="69"/>
      <c r="EB697" s="69"/>
      <c r="EC697" s="69"/>
      <c r="ED697" s="69"/>
      <c r="EE697" s="69"/>
      <c r="EF697" s="69"/>
      <c r="EG697" s="69"/>
      <c r="EH697" s="69"/>
      <c r="EI697" s="69"/>
      <c r="EJ697" s="69"/>
      <c r="EK697" s="69"/>
      <c r="EL697" s="69"/>
      <c r="EM697" s="69"/>
      <c r="EN697" s="69"/>
      <c r="EO697" s="69"/>
      <c r="EP697" s="69"/>
      <c r="EQ697" s="69"/>
      <c r="ER697" s="69"/>
      <c r="ES697" s="69"/>
      <c r="ET697" s="69"/>
      <c r="EU697" s="69"/>
      <c r="EV697" s="69"/>
      <c r="EW697" s="69"/>
      <c r="EX697" s="69"/>
      <c r="EY697" s="69"/>
      <c r="EZ697" s="69"/>
      <c r="FA697" s="69"/>
      <c r="FB697" s="69"/>
      <c r="FC697" s="69"/>
      <c r="FD697" s="69"/>
      <c r="FE697" s="69"/>
      <c r="FF697" s="69"/>
      <c r="FG697" s="69"/>
      <c r="FH697" s="69"/>
      <c r="FI697" s="69"/>
      <c r="FJ697" s="69"/>
      <c r="FK697" s="69"/>
      <c r="FL697" s="69"/>
      <c r="FM697" s="69"/>
      <c r="FN697" s="69"/>
      <c r="FO697" s="69"/>
      <c r="FP697" s="69"/>
      <c r="FQ697" s="69"/>
      <c r="FR697" s="69"/>
      <c r="FS697" s="69"/>
      <c r="FT697" s="69"/>
      <c r="FU697" s="69"/>
      <c r="FV697" s="69"/>
      <c r="FW697" s="69"/>
      <c r="FX697" s="69"/>
      <c r="FY697" s="69"/>
      <c r="FZ697" s="69"/>
      <c r="GA697" s="69"/>
      <c r="GB697" s="69"/>
      <c r="GC697" s="69"/>
      <c r="GD697" s="69"/>
      <c r="GE697" s="69"/>
      <c r="GF697" s="69"/>
      <c r="GG697" s="69"/>
      <c r="GH697" s="69"/>
      <c r="GI697" s="69"/>
      <c r="GJ697" s="69"/>
      <c r="GK697" s="69"/>
      <c r="GL697" s="69"/>
      <c r="GM697" s="69"/>
      <c r="GN697" s="69"/>
      <c r="GO697" s="69"/>
      <c r="GP697" s="69"/>
      <c r="GQ697" s="69"/>
      <c r="GR697" s="69"/>
      <c r="GS697" s="69"/>
      <c r="GT697" s="69"/>
      <c r="GU697" s="69"/>
    </row>
    <row r="698" spans="1:203" ht="15" customHeight="1" x14ac:dyDescent="0.2">
      <c r="A698" s="5"/>
      <c r="D698" s="75" t="s">
        <v>131</v>
      </c>
      <c r="E698" s="139">
        <f>G579</f>
        <v>698205.57599999988</v>
      </c>
      <c r="F698" s="205">
        <f>H579</f>
        <v>746443.59152116359</v>
      </c>
      <c r="G698" s="139" t="e">
        <f>#REF!</f>
        <v>#REF!</v>
      </c>
      <c r="H698" s="139" t="e">
        <f>#REF!</f>
        <v>#REF!</v>
      </c>
      <c r="I698" s="69"/>
      <c r="J698" s="69"/>
      <c r="K698" s="69"/>
      <c r="L698" s="69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</row>
    <row r="699" spans="1:203" ht="15" customHeight="1" x14ac:dyDescent="0.2">
      <c r="A699" s="2"/>
      <c r="D699" s="75" t="s">
        <v>133</v>
      </c>
      <c r="E699" s="73">
        <f>G558</f>
        <v>2674670.2259999998</v>
      </c>
      <c r="F699" s="206">
        <f>H558</f>
        <v>2857290.4413588</v>
      </c>
      <c r="G699" s="73" t="e">
        <f>#REF!</f>
        <v>#REF!</v>
      </c>
      <c r="H699" s="73" t="e">
        <f>#REF!</f>
        <v>#REF!</v>
      </c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  <c r="AS699" s="69"/>
      <c r="AT699" s="69"/>
      <c r="AU699" s="69"/>
      <c r="AV699" s="69"/>
      <c r="AW699" s="69"/>
      <c r="AX699" s="69"/>
      <c r="AY699" s="69"/>
      <c r="AZ699" s="69"/>
      <c r="BA699" s="69"/>
      <c r="BB699" s="69"/>
      <c r="BC699" s="69"/>
      <c r="BD699" s="69"/>
      <c r="BE699" s="69"/>
      <c r="BF699" s="69"/>
      <c r="BG699" s="69"/>
      <c r="BH699" s="69"/>
      <c r="BI699" s="69"/>
      <c r="BJ699" s="69"/>
      <c r="BK699" s="69"/>
      <c r="BL699" s="69"/>
      <c r="BM699" s="69"/>
      <c r="BN699" s="69"/>
      <c r="BO699" s="69"/>
      <c r="BP699" s="69"/>
      <c r="BQ699" s="69"/>
      <c r="BR699" s="69"/>
      <c r="BS699" s="69"/>
      <c r="BT699" s="69"/>
      <c r="BU699" s="69"/>
      <c r="BV699" s="69"/>
      <c r="BW699" s="69"/>
      <c r="BX699" s="69"/>
      <c r="BY699" s="69"/>
      <c r="BZ699" s="69"/>
      <c r="CA699" s="69"/>
      <c r="CB699" s="69"/>
      <c r="CC699" s="69"/>
      <c r="CD699" s="69"/>
      <c r="CE699" s="69"/>
      <c r="CF699" s="69"/>
      <c r="CG699" s="69"/>
      <c r="CH699" s="69"/>
      <c r="CI699" s="69"/>
      <c r="CJ699" s="69"/>
      <c r="CK699" s="69"/>
      <c r="CL699" s="69"/>
      <c r="CM699" s="69"/>
      <c r="CN699" s="69"/>
      <c r="CO699" s="69"/>
      <c r="CP699" s="69"/>
      <c r="CQ699" s="69"/>
      <c r="CR699" s="69"/>
      <c r="CS699" s="69"/>
      <c r="CT699" s="69"/>
      <c r="CU699" s="69"/>
      <c r="CV699" s="69"/>
      <c r="CW699" s="69"/>
      <c r="CX699" s="69"/>
      <c r="CY699" s="69"/>
      <c r="CZ699" s="69"/>
      <c r="DA699" s="69"/>
      <c r="DB699" s="69"/>
      <c r="DC699" s="69"/>
      <c r="DD699" s="69"/>
      <c r="DE699" s="69"/>
      <c r="DF699" s="69"/>
      <c r="DG699" s="69"/>
      <c r="DH699" s="69"/>
      <c r="DI699" s="69"/>
      <c r="DJ699" s="69"/>
      <c r="DK699" s="69"/>
      <c r="DL699" s="69"/>
      <c r="DM699" s="69"/>
      <c r="DN699" s="69"/>
      <c r="DO699" s="69"/>
      <c r="DP699" s="69"/>
      <c r="DQ699" s="69"/>
      <c r="DR699" s="69"/>
      <c r="DS699" s="69"/>
      <c r="DT699" s="69"/>
      <c r="DU699" s="69"/>
      <c r="DV699" s="69"/>
      <c r="DW699" s="69"/>
      <c r="DX699" s="69"/>
      <c r="DY699" s="69"/>
      <c r="DZ699" s="69"/>
      <c r="EA699" s="69"/>
      <c r="EB699" s="69"/>
      <c r="EC699" s="69"/>
      <c r="ED699" s="69"/>
      <c r="EE699" s="69"/>
      <c r="EF699" s="69"/>
      <c r="EG699" s="69"/>
      <c r="EH699" s="69"/>
      <c r="EI699" s="69"/>
      <c r="EJ699" s="69"/>
      <c r="EK699" s="69"/>
      <c r="EL699" s="69"/>
      <c r="EM699" s="69"/>
      <c r="EN699" s="69"/>
      <c r="EO699" s="69"/>
      <c r="EP699" s="69"/>
      <c r="EQ699" s="69"/>
      <c r="ER699" s="69"/>
      <c r="ES699" s="69"/>
      <c r="ET699" s="69"/>
      <c r="EU699" s="69"/>
      <c r="EV699" s="69"/>
      <c r="EW699" s="69"/>
      <c r="EX699" s="69"/>
      <c r="EY699" s="69"/>
      <c r="EZ699" s="69"/>
      <c r="FA699" s="69"/>
      <c r="FB699" s="69"/>
      <c r="FC699" s="69"/>
      <c r="FD699" s="69"/>
      <c r="FE699" s="69"/>
      <c r="FF699" s="69"/>
      <c r="FG699" s="69"/>
      <c r="FH699" s="69"/>
      <c r="FI699" s="69"/>
      <c r="FJ699" s="69"/>
      <c r="FK699" s="69"/>
      <c r="FL699" s="69"/>
      <c r="FM699" s="69"/>
      <c r="FN699" s="69"/>
      <c r="FO699" s="69"/>
      <c r="FP699" s="69"/>
      <c r="FQ699" s="69"/>
      <c r="FR699" s="69"/>
      <c r="FS699" s="69"/>
      <c r="FT699" s="69"/>
      <c r="FU699" s="69"/>
      <c r="FV699" s="69"/>
      <c r="FW699" s="69"/>
      <c r="FX699" s="69"/>
      <c r="FY699" s="69"/>
      <c r="FZ699" s="69"/>
      <c r="GA699" s="69"/>
      <c r="GB699" s="69"/>
      <c r="GC699" s="69"/>
      <c r="GD699" s="69"/>
      <c r="GE699" s="69"/>
      <c r="GF699" s="69"/>
      <c r="GG699" s="69"/>
      <c r="GH699" s="69"/>
      <c r="GI699" s="69"/>
      <c r="GJ699" s="69"/>
      <c r="GK699" s="69"/>
      <c r="GL699" s="69"/>
      <c r="GM699" s="69"/>
      <c r="GN699" s="69"/>
      <c r="GO699" s="69"/>
      <c r="GP699" s="69"/>
      <c r="GQ699" s="69"/>
      <c r="GR699" s="69"/>
      <c r="GS699" s="69"/>
      <c r="GT699" s="69"/>
      <c r="GU699" s="69"/>
    </row>
    <row r="700" spans="1:203" ht="15" customHeight="1" x14ac:dyDescent="0.2">
      <c r="A700" s="2"/>
      <c r="D700" s="75" t="s">
        <v>135</v>
      </c>
      <c r="E700" s="73">
        <f>G534</f>
        <v>1171784.5079999999</v>
      </c>
      <c r="F700" s="206">
        <f>H534</f>
        <v>1257690.806347091</v>
      </c>
      <c r="G700" s="73" t="e">
        <f>#REF!</f>
        <v>#REF!</v>
      </c>
      <c r="H700" s="73" t="e">
        <f>#REF!</f>
        <v>#REF!</v>
      </c>
      <c r="I700" s="76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  <c r="AQ700" s="69"/>
      <c r="AR700" s="69"/>
      <c r="AS700" s="69"/>
      <c r="AT700" s="69"/>
      <c r="AU700" s="69"/>
      <c r="AV700" s="69"/>
      <c r="AW700" s="69"/>
      <c r="AX700" s="69"/>
      <c r="AY700" s="69"/>
      <c r="AZ700" s="69"/>
      <c r="BA700" s="69"/>
      <c r="BB700" s="69"/>
      <c r="BC700" s="69"/>
      <c r="BD700" s="69"/>
      <c r="BE700" s="69"/>
      <c r="BF700" s="69"/>
      <c r="BG700" s="69"/>
      <c r="BH700" s="69"/>
      <c r="BI700" s="69"/>
      <c r="BJ700" s="69"/>
      <c r="BK700" s="69"/>
      <c r="BL700" s="69"/>
      <c r="BM700" s="69"/>
      <c r="BN700" s="69"/>
      <c r="BO700" s="69"/>
      <c r="BP700" s="69"/>
      <c r="BQ700" s="69"/>
      <c r="BR700" s="69"/>
      <c r="BS700" s="69"/>
      <c r="BT700" s="69"/>
      <c r="BU700" s="69"/>
      <c r="BV700" s="69"/>
      <c r="BW700" s="69"/>
      <c r="BX700" s="69"/>
      <c r="BY700" s="69"/>
      <c r="BZ700" s="69"/>
      <c r="CA700" s="69"/>
      <c r="CB700" s="69"/>
      <c r="CC700" s="69"/>
      <c r="CD700" s="69"/>
      <c r="CE700" s="69"/>
      <c r="CF700" s="69"/>
      <c r="CG700" s="69"/>
      <c r="CH700" s="69"/>
      <c r="CI700" s="69"/>
      <c r="CJ700" s="69"/>
      <c r="CK700" s="69"/>
      <c r="CL700" s="69"/>
      <c r="CM700" s="69"/>
      <c r="CN700" s="69"/>
      <c r="CO700" s="69"/>
      <c r="CP700" s="69"/>
      <c r="CQ700" s="69"/>
      <c r="CR700" s="69"/>
      <c r="CS700" s="69"/>
      <c r="CT700" s="69"/>
      <c r="CU700" s="69"/>
      <c r="CV700" s="69"/>
      <c r="CW700" s="69"/>
      <c r="CX700" s="69"/>
      <c r="CY700" s="69"/>
      <c r="CZ700" s="69"/>
      <c r="DA700" s="69"/>
      <c r="DB700" s="69"/>
      <c r="DC700" s="69"/>
      <c r="DD700" s="69"/>
      <c r="DE700" s="69"/>
      <c r="DF700" s="69"/>
      <c r="DG700" s="69"/>
      <c r="DH700" s="69"/>
      <c r="DI700" s="69"/>
      <c r="DJ700" s="69"/>
      <c r="DK700" s="69"/>
      <c r="DL700" s="69"/>
      <c r="DM700" s="69"/>
      <c r="DN700" s="69"/>
      <c r="DO700" s="69"/>
      <c r="DP700" s="69"/>
      <c r="DQ700" s="69"/>
      <c r="DR700" s="69"/>
      <c r="DS700" s="69"/>
      <c r="DT700" s="69"/>
      <c r="DU700" s="69"/>
      <c r="DV700" s="69"/>
      <c r="DW700" s="69"/>
      <c r="DX700" s="69"/>
      <c r="DY700" s="69"/>
      <c r="DZ700" s="69"/>
      <c r="EA700" s="69"/>
      <c r="EB700" s="69"/>
      <c r="EC700" s="69"/>
      <c r="ED700" s="69"/>
      <c r="EE700" s="69"/>
      <c r="EF700" s="69"/>
      <c r="EG700" s="69"/>
      <c r="EH700" s="69"/>
      <c r="EI700" s="69"/>
      <c r="EJ700" s="69"/>
      <c r="EK700" s="69"/>
      <c r="EL700" s="69"/>
      <c r="EM700" s="69"/>
      <c r="EN700" s="69"/>
      <c r="EO700" s="69"/>
      <c r="EP700" s="69"/>
      <c r="EQ700" s="69"/>
      <c r="ER700" s="69"/>
      <c r="ES700" s="69"/>
      <c r="ET700" s="69"/>
      <c r="EU700" s="69"/>
      <c r="EV700" s="69"/>
      <c r="EW700" s="69"/>
      <c r="EX700" s="69"/>
      <c r="EY700" s="69"/>
      <c r="EZ700" s="69"/>
      <c r="FA700" s="69"/>
      <c r="FB700" s="69"/>
      <c r="FC700" s="69"/>
      <c r="FD700" s="69"/>
      <c r="FE700" s="69"/>
      <c r="FF700" s="69"/>
      <c r="FG700" s="69"/>
      <c r="FH700" s="69"/>
      <c r="FI700" s="69"/>
      <c r="FJ700" s="69"/>
      <c r="FK700" s="69"/>
      <c r="FL700" s="69"/>
      <c r="FM700" s="69"/>
      <c r="FN700" s="69"/>
      <c r="FO700" s="69"/>
      <c r="FP700" s="69"/>
      <c r="FQ700" s="69"/>
      <c r="FR700" s="69"/>
      <c r="FS700" s="69"/>
      <c r="FT700" s="69"/>
      <c r="FU700" s="69"/>
      <c r="FV700" s="69"/>
      <c r="FW700" s="69"/>
      <c r="FX700" s="69"/>
      <c r="FY700" s="69"/>
      <c r="FZ700" s="69"/>
      <c r="GA700" s="69"/>
      <c r="GB700" s="69"/>
      <c r="GC700" s="69"/>
      <c r="GD700" s="69"/>
      <c r="GE700" s="69"/>
      <c r="GF700" s="69"/>
      <c r="GG700" s="69"/>
      <c r="GH700" s="69"/>
      <c r="GI700" s="69"/>
      <c r="GJ700" s="69"/>
      <c r="GK700" s="69"/>
      <c r="GL700" s="69"/>
      <c r="GM700" s="69"/>
      <c r="GN700" s="69"/>
      <c r="GO700" s="69"/>
      <c r="GP700" s="69"/>
      <c r="GQ700" s="69"/>
      <c r="GR700" s="69"/>
      <c r="GS700" s="69"/>
      <c r="GT700" s="69"/>
      <c r="GU700" s="69"/>
    </row>
    <row r="701" spans="1:203" ht="15" customHeight="1" x14ac:dyDescent="0.2">
      <c r="A701" s="2"/>
      <c r="D701" s="75" t="s">
        <v>137</v>
      </c>
      <c r="E701" s="73">
        <f>G512</f>
        <v>1970702.7960000001</v>
      </c>
      <c r="F701" s="206">
        <f>H512</f>
        <v>2120369.9293909092</v>
      </c>
      <c r="G701" s="73" t="e">
        <f>#REF!</f>
        <v>#REF!</v>
      </c>
      <c r="H701" s="73" t="e">
        <f>#REF!</f>
        <v>#REF!</v>
      </c>
      <c r="I701" s="76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  <c r="AQ701" s="69"/>
      <c r="AR701" s="69"/>
      <c r="AS701" s="69"/>
      <c r="AT701" s="69"/>
      <c r="AU701" s="69"/>
      <c r="AV701" s="69"/>
      <c r="AW701" s="69"/>
      <c r="AX701" s="69"/>
      <c r="AY701" s="69"/>
      <c r="AZ701" s="69"/>
      <c r="BA701" s="69"/>
      <c r="BB701" s="69"/>
      <c r="BC701" s="69"/>
      <c r="BD701" s="69"/>
      <c r="BE701" s="69"/>
      <c r="BF701" s="69"/>
      <c r="BG701" s="69"/>
      <c r="BH701" s="69"/>
      <c r="BI701" s="69"/>
      <c r="BJ701" s="69"/>
      <c r="BK701" s="69"/>
      <c r="BL701" s="69"/>
      <c r="BM701" s="69"/>
      <c r="BN701" s="69"/>
      <c r="BO701" s="69"/>
      <c r="BP701" s="69"/>
      <c r="BQ701" s="69"/>
      <c r="BR701" s="69"/>
      <c r="BS701" s="69"/>
      <c r="BT701" s="69"/>
      <c r="BU701" s="69"/>
      <c r="BV701" s="69"/>
      <c r="BW701" s="69"/>
      <c r="BX701" s="69"/>
      <c r="BY701" s="69"/>
      <c r="BZ701" s="69"/>
      <c r="CA701" s="69"/>
      <c r="CB701" s="69"/>
      <c r="CC701" s="69"/>
      <c r="CD701" s="69"/>
      <c r="CE701" s="69"/>
      <c r="CF701" s="69"/>
      <c r="CG701" s="69"/>
      <c r="CH701" s="69"/>
      <c r="CI701" s="69"/>
      <c r="CJ701" s="69"/>
      <c r="CK701" s="69"/>
      <c r="CL701" s="69"/>
      <c r="CM701" s="69"/>
      <c r="CN701" s="69"/>
      <c r="CO701" s="69"/>
      <c r="CP701" s="69"/>
      <c r="CQ701" s="69"/>
      <c r="CR701" s="69"/>
      <c r="CS701" s="69"/>
      <c r="CT701" s="69"/>
      <c r="CU701" s="69"/>
      <c r="CV701" s="69"/>
      <c r="CW701" s="69"/>
      <c r="CX701" s="69"/>
      <c r="CY701" s="69"/>
      <c r="CZ701" s="69"/>
      <c r="DA701" s="69"/>
      <c r="DB701" s="69"/>
      <c r="DC701" s="69"/>
      <c r="DD701" s="69"/>
      <c r="DE701" s="69"/>
      <c r="DF701" s="69"/>
      <c r="DG701" s="69"/>
      <c r="DH701" s="69"/>
      <c r="DI701" s="69"/>
      <c r="DJ701" s="69"/>
      <c r="DK701" s="69"/>
      <c r="DL701" s="69"/>
      <c r="DM701" s="69"/>
      <c r="DN701" s="69"/>
      <c r="DO701" s="69"/>
      <c r="DP701" s="69"/>
      <c r="DQ701" s="69"/>
      <c r="DR701" s="69"/>
      <c r="DS701" s="69"/>
      <c r="DT701" s="69"/>
      <c r="DU701" s="69"/>
      <c r="DV701" s="69"/>
      <c r="DW701" s="69"/>
      <c r="DX701" s="69"/>
      <c r="DY701" s="69"/>
      <c r="DZ701" s="69"/>
      <c r="EA701" s="69"/>
      <c r="EB701" s="69"/>
      <c r="EC701" s="69"/>
      <c r="ED701" s="69"/>
      <c r="EE701" s="69"/>
      <c r="EF701" s="69"/>
      <c r="EG701" s="69"/>
      <c r="EH701" s="69"/>
      <c r="EI701" s="69"/>
      <c r="EJ701" s="69"/>
      <c r="EK701" s="69"/>
      <c r="EL701" s="69"/>
      <c r="EM701" s="69"/>
      <c r="EN701" s="69"/>
      <c r="EO701" s="69"/>
      <c r="EP701" s="69"/>
      <c r="EQ701" s="69"/>
      <c r="ER701" s="69"/>
      <c r="ES701" s="69"/>
      <c r="ET701" s="69"/>
      <c r="EU701" s="69"/>
      <c r="EV701" s="69"/>
      <c r="EW701" s="69"/>
      <c r="EX701" s="69"/>
      <c r="EY701" s="69"/>
      <c r="EZ701" s="69"/>
      <c r="FA701" s="69"/>
      <c r="FB701" s="69"/>
      <c r="FC701" s="69"/>
      <c r="FD701" s="69"/>
      <c r="FE701" s="69"/>
      <c r="FF701" s="69"/>
      <c r="FG701" s="69"/>
      <c r="FH701" s="69"/>
      <c r="FI701" s="69"/>
      <c r="FJ701" s="69"/>
      <c r="FK701" s="69"/>
      <c r="FL701" s="69"/>
      <c r="FM701" s="69"/>
      <c r="FN701" s="69"/>
      <c r="FO701" s="69"/>
      <c r="FP701" s="69"/>
      <c r="FQ701" s="69"/>
      <c r="FR701" s="69"/>
      <c r="FS701" s="69"/>
      <c r="FT701" s="69"/>
      <c r="FU701" s="69"/>
      <c r="FV701" s="69"/>
      <c r="FW701" s="69"/>
      <c r="FX701" s="69"/>
      <c r="FY701" s="69"/>
      <c r="FZ701" s="69"/>
      <c r="GA701" s="69"/>
      <c r="GB701" s="69"/>
      <c r="GC701" s="69"/>
      <c r="GD701" s="69"/>
      <c r="GE701" s="69"/>
      <c r="GF701" s="69"/>
      <c r="GG701" s="69"/>
      <c r="GH701" s="69"/>
      <c r="GI701" s="69"/>
      <c r="GJ701" s="69"/>
      <c r="GK701" s="69"/>
      <c r="GL701" s="69"/>
      <c r="GM701" s="69"/>
      <c r="GN701" s="69"/>
      <c r="GO701" s="69"/>
      <c r="GP701" s="69"/>
      <c r="GQ701" s="69"/>
      <c r="GR701" s="69"/>
      <c r="GS701" s="69"/>
      <c r="GT701" s="69"/>
      <c r="GU701" s="69"/>
    </row>
    <row r="702" spans="1:203" ht="15" customHeight="1" x14ac:dyDescent="0.2">
      <c r="A702" s="2"/>
      <c r="D702" s="48" t="s">
        <v>139</v>
      </c>
      <c r="E702" s="73">
        <f>G614</f>
        <v>894982.89999999991</v>
      </c>
      <c r="F702" s="206">
        <f>H614</f>
        <v>959240.70044459996</v>
      </c>
      <c r="G702" s="73" t="e">
        <f>#REF!</f>
        <v>#REF!</v>
      </c>
      <c r="H702" s="73" t="e">
        <f>#REF!</f>
        <v>#REF!</v>
      </c>
      <c r="I702" s="76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  <c r="AM702" s="69"/>
      <c r="AN702" s="69"/>
      <c r="AO702" s="69"/>
      <c r="AP702" s="69"/>
      <c r="AQ702" s="69"/>
      <c r="AR702" s="69"/>
      <c r="AS702" s="69"/>
      <c r="AT702" s="69"/>
      <c r="AU702" s="69"/>
      <c r="AV702" s="69"/>
      <c r="AW702" s="69"/>
      <c r="AX702" s="69"/>
      <c r="AY702" s="69"/>
      <c r="AZ702" s="69"/>
      <c r="BA702" s="69"/>
      <c r="BB702" s="69"/>
      <c r="BC702" s="69"/>
      <c r="BD702" s="69"/>
      <c r="BE702" s="69"/>
      <c r="BF702" s="69"/>
      <c r="BG702" s="69"/>
      <c r="BH702" s="69"/>
      <c r="BI702" s="69"/>
      <c r="BJ702" s="69"/>
      <c r="BK702" s="69"/>
      <c r="BL702" s="69"/>
      <c r="BM702" s="69"/>
      <c r="BN702" s="69"/>
      <c r="BO702" s="69"/>
      <c r="BP702" s="69"/>
      <c r="BQ702" s="69"/>
      <c r="BR702" s="69"/>
      <c r="BS702" s="69"/>
      <c r="BT702" s="69"/>
      <c r="BU702" s="69"/>
      <c r="BV702" s="69"/>
      <c r="BW702" s="69"/>
      <c r="BX702" s="69"/>
      <c r="BY702" s="69"/>
      <c r="BZ702" s="69"/>
      <c r="CA702" s="69"/>
      <c r="CB702" s="69"/>
      <c r="CC702" s="69"/>
      <c r="CD702" s="69"/>
      <c r="CE702" s="69"/>
      <c r="CF702" s="69"/>
      <c r="CG702" s="69"/>
      <c r="CH702" s="69"/>
      <c r="CI702" s="69"/>
      <c r="CJ702" s="69"/>
      <c r="CK702" s="69"/>
      <c r="CL702" s="69"/>
      <c r="CM702" s="69"/>
      <c r="CN702" s="69"/>
      <c r="CO702" s="69"/>
      <c r="CP702" s="69"/>
      <c r="CQ702" s="69"/>
      <c r="CR702" s="69"/>
      <c r="CS702" s="69"/>
      <c r="CT702" s="69"/>
      <c r="CU702" s="69"/>
      <c r="CV702" s="69"/>
      <c r="CW702" s="69"/>
      <c r="CX702" s="69"/>
      <c r="CY702" s="69"/>
      <c r="CZ702" s="69"/>
      <c r="DA702" s="69"/>
      <c r="DB702" s="69"/>
      <c r="DC702" s="69"/>
      <c r="DD702" s="69"/>
      <c r="DE702" s="69"/>
      <c r="DF702" s="69"/>
      <c r="DG702" s="69"/>
      <c r="DH702" s="69"/>
      <c r="DI702" s="69"/>
      <c r="DJ702" s="69"/>
      <c r="DK702" s="69"/>
      <c r="DL702" s="69"/>
      <c r="DM702" s="69"/>
      <c r="DN702" s="69"/>
      <c r="DO702" s="69"/>
      <c r="DP702" s="69"/>
      <c r="DQ702" s="69"/>
      <c r="DR702" s="69"/>
      <c r="DS702" s="69"/>
      <c r="DT702" s="69"/>
      <c r="DU702" s="69"/>
      <c r="DV702" s="69"/>
      <c r="DW702" s="69"/>
      <c r="DX702" s="69"/>
      <c r="DY702" s="69"/>
      <c r="DZ702" s="69"/>
      <c r="EA702" s="69"/>
      <c r="EB702" s="69"/>
      <c r="EC702" s="69"/>
      <c r="ED702" s="69"/>
      <c r="EE702" s="69"/>
      <c r="EF702" s="69"/>
      <c r="EG702" s="69"/>
      <c r="EH702" s="69"/>
      <c r="EI702" s="69"/>
      <c r="EJ702" s="69"/>
      <c r="EK702" s="69"/>
      <c r="EL702" s="69"/>
      <c r="EM702" s="69"/>
      <c r="EN702" s="69"/>
      <c r="EO702" s="69"/>
      <c r="EP702" s="69"/>
      <c r="EQ702" s="69"/>
      <c r="ER702" s="69"/>
      <c r="ES702" s="69"/>
      <c r="ET702" s="69"/>
      <c r="EU702" s="69"/>
      <c r="EV702" s="69"/>
      <c r="EW702" s="69"/>
      <c r="EX702" s="69"/>
      <c r="EY702" s="69"/>
      <c r="EZ702" s="69"/>
      <c r="FA702" s="69"/>
      <c r="FB702" s="69"/>
      <c r="FC702" s="69"/>
      <c r="FD702" s="69"/>
      <c r="FE702" s="69"/>
      <c r="FF702" s="69"/>
      <c r="FG702" s="69"/>
      <c r="FH702" s="69"/>
      <c r="FI702" s="69"/>
      <c r="FJ702" s="69"/>
      <c r="FK702" s="69"/>
      <c r="FL702" s="69"/>
      <c r="FM702" s="69"/>
      <c r="FN702" s="69"/>
      <c r="FO702" s="69"/>
      <c r="FP702" s="69"/>
      <c r="FQ702" s="69"/>
      <c r="FR702" s="69"/>
      <c r="FS702" s="69"/>
      <c r="FT702" s="69"/>
      <c r="FU702" s="69"/>
      <c r="FV702" s="69"/>
      <c r="FW702" s="69"/>
      <c r="FX702" s="69"/>
      <c r="FY702" s="69"/>
      <c r="FZ702" s="69"/>
      <c r="GA702" s="69"/>
      <c r="GB702" s="69"/>
      <c r="GC702" s="69"/>
      <c r="GD702" s="69"/>
      <c r="GE702" s="69"/>
      <c r="GF702" s="69"/>
      <c r="GG702" s="69"/>
      <c r="GH702" s="69"/>
      <c r="GI702" s="69"/>
      <c r="GJ702" s="69"/>
      <c r="GK702" s="69"/>
      <c r="GL702" s="69"/>
      <c r="GM702" s="69"/>
      <c r="GN702" s="69"/>
      <c r="GO702" s="69"/>
      <c r="GP702" s="69"/>
      <c r="GQ702" s="69"/>
      <c r="GR702" s="69"/>
      <c r="GS702" s="69"/>
      <c r="GT702" s="69"/>
      <c r="GU702" s="69"/>
    </row>
    <row r="703" spans="1:203" ht="15" customHeight="1" x14ac:dyDescent="0.2">
      <c r="A703" s="2"/>
      <c r="D703" s="56" t="s">
        <v>90</v>
      </c>
      <c r="E703" s="55">
        <f>G586+G587+G588+G589+G590+G591</f>
        <v>1214541.7439999999</v>
      </c>
      <c r="F703" s="196">
        <f>H586+H587+H588+H589+H590+H591</f>
        <v>1258143.7926096001</v>
      </c>
      <c r="G703" s="55" t="e">
        <f>#REF!+#REF!+#REF!+#REF!+#REF!+#REF!</f>
        <v>#REF!</v>
      </c>
      <c r="H703" s="55" t="e">
        <f>#REF!+#REF!+#REF!+#REF!+#REF!+#REF!</f>
        <v>#REF!</v>
      </c>
      <c r="I703" s="76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  <c r="AM703" s="69"/>
      <c r="AN703" s="69"/>
      <c r="AO703" s="69"/>
      <c r="AP703" s="69"/>
      <c r="AQ703" s="69"/>
      <c r="AR703" s="69"/>
      <c r="AS703" s="69"/>
      <c r="AT703" s="69"/>
      <c r="AU703" s="69"/>
      <c r="AV703" s="69"/>
      <c r="AW703" s="69"/>
      <c r="AX703" s="69"/>
      <c r="AY703" s="69"/>
      <c r="AZ703" s="69"/>
      <c r="BA703" s="69"/>
      <c r="BB703" s="69"/>
      <c r="BC703" s="69"/>
      <c r="BD703" s="69"/>
      <c r="BE703" s="69"/>
      <c r="BF703" s="69"/>
      <c r="BG703" s="69"/>
      <c r="BH703" s="69"/>
      <c r="BI703" s="69"/>
      <c r="BJ703" s="69"/>
      <c r="BK703" s="69"/>
      <c r="BL703" s="69"/>
      <c r="BM703" s="69"/>
      <c r="BN703" s="69"/>
      <c r="BO703" s="69"/>
      <c r="BP703" s="69"/>
      <c r="BQ703" s="69"/>
      <c r="BR703" s="69"/>
      <c r="BS703" s="69"/>
      <c r="BT703" s="69"/>
      <c r="BU703" s="69"/>
      <c r="BV703" s="69"/>
      <c r="BW703" s="69"/>
      <c r="BX703" s="69"/>
      <c r="BY703" s="69"/>
      <c r="BZ703" s="69"/>
      <c r="CA703" s="69"/>
      <c r="CB703" s="69"/>
      <c r="CC703" s="69"/>
      <c r="CD703" s="69"/>
      <c r="CE703" s="69"/>
      <c r="CF703" s="69"/>
      <c r="CG703" s="69"/>
      <c r="CH703" s="69"/>
      <c r="CI703" s="69"/>
      <c r="CJ703" s="69"/>
      <c r="CK703" s="69"/>
      <c r="CL703" s="69"/>
      <c r="CM703" s="69"/>
      <c r="CN703" s="69"/>
      <c r="CO703" s="69"/>
      <c r="CP703" s="69"/>
      <c r="CQ703" s="69"/>
      <c r="CR703" s="69"/>
      <c r="CS703" s="69"/>
      <c r="CT703" s="69"/>
      <c r="CU703" s="69"/>
      <c r="CV703" s="69"/>
      <c r="CW703" s="69"/>
      <c r="CX703" s="69"/>
      <c r="CY703" s="69"/>
      <c r="CZ703" s="69"/>
      <c r="DA703" s="69"/>
      <c r="DB703" s="69"/>
      <c r="DC703" s="69"/>
      <c r="DD703" s="69"/>
      <c r="DE703" s="69"/>
      <c r="DF703" s="69"/>
      <c r="DG703" s="69"/>
      <c r="DH703" s="69"/>
      <c r="DI703" s="69"/>
      <c r="DJ703" s="69"/>
      <c r="DK703" s="69"/>
      <c r="DL703" s="69"/>
      <c r="DM703" s="69"/>
      <c r="DN703" s="69"/>
      <c r="DO703" s="69"/>
      <c r="DP703" s="69"/>
      <c r="DQ703" s="69"/>
      <c r="DR703" s="69"/>
      <c r="DS703" s="69"/>
      <c r="DT703" s="69"/>
      <c r="DU703" s="69"/>
      <c r="DV703" s="69"/>
      <c r="DW703" s="69"/>
      <c r="DX703" s="69"/>
      <c r="DY703" s="69"/>
      <c r="DZ703" s="69"/>
      <c r="EA703" s="69"/>
      <c r="EB703" s="69"/>
      <c r="EC703" s="69"/>
      <c r="ED703" s="69"/>
      <c r="EE703" s="69"/>
      <c r="EF703" s="69"/>
      <c r="EG703" s="69"/>
      <c r="EH703" s="69"/>
      <c r="EI703" s="69"/>
      <c r="EJ703" s="69"/>
      <c r="EK703" s="69"/>
      <c r="EL703" s="69"/>
      <c r="EM703" s="69"/>
      <c r="EN703" s="69"/>
      <c r="EO703" s="69"/>
      <c r="EP703" s="69"/>
      <c r="EQ703" s="69"/>
      <c r="ER703" s="69"/>
      <c r="ES703" s="69"/>
      <c r="ET703" s="69"/>
      <c r="EU703" s="69"/>
      <c r="EV703" s="69"/>
      <c r="EW703" s="69"/>
      <c r="EX703" s="69"/>
      <c r="EY703" s="69"/>
      <c r="EZ703" s="69"/>
      <c r="FA703" s="69"/>
      <c r="FB703" s="69"/>
      <c r="FC703" s="69"/>
      <c r="FD703" s="69"/>
      <c r="FE703" s="69"/>
      <c r="FF703" s="69"/>
      <c r="FG703" s="69"/>
      <c r="FH703" s="69"/>
      <c r="FI703" s="69"/>
      <c r="FJ703" s="69"/>
      <c r="FK703" s="69"/>
      <c r="FL703" s="69"/>
      <c r="FM703" s="69"/>
      <c r="FN703" s="69"/>
      <c r="FO703" s="69"/>
      <c r="FP703" s="69"/>
      <c r="FQ703" s="69"/>
      <c r="FR703" s="69"/>
      <c r="FS703" s="69"/>
      <c r="FT703" s="69"/>
      <c r="FU703" s="69"/>
      <c r="FV703" s="69"/>
      <c r="FW703" s="69"/>
      <c r="FX703" s="69"/>
      <c r="FY703" s="69"/>
      <c r="FZ703" s="69"/>
      <c r="GA703" s="69"/>
      <c r="GB703" s="69"/>
      <c r="GC703" s="69"/>
      <c r="GD703" s="69"/>
      <c r="GE703" s="69"/>
      <c r="GF703" s="69"/>
      <c r="GG703" s="69"/>
      <c r="GH703" s="69"/>
      <c r="GI703" s="69"/>
      <c r="GJ703" s="69"/>
      <c r="GK703" s="69"/>
      <c r="GL703" s="69"/>
      <c r="GM703" s="69"/>
      <c r="GN703" s="69"/>
      <c r="GO703" s="69"/>
      <c r="GP703" s="69"/>
      <c r="GQ703" s="69"/>
      <c r="GR703" s="69"/>
      <c r="GS703" s="69"/>
      <c r="GT703" s="69"/>
      <c r="GU703" s="69"/>
    </row>
    <row r="704" spans="1:203" ht="15" customHeight="1" x14ac:dyDescent="0.2">
      <c r="A704" s="2"/>
      <c r="D704" s="19" t="s">
        <v>141</v>
      </c>
      <c r="E704" s="77">
        <f>SUM(E697:E703)</f>
        <v>17800566.886</v>
      </c>
      <c r="F704" s="199">
        <f t="shared" ref="F704:H704" si="57">SUM(F697:F703)</f>
        <v>19039353.078743186</v>
      </c>
      <c r="G704" s="77" t="e">
        <f t="shared" si="57"/>
        <v>#REF!</v>
      </c>
      <c r="H704" s="77" t="e">
        <f t="shared" si="57"/>
        <v>#REF!</v>
      </c>
      <c r="I704" s="76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  <c r="AM704" s="69"/>
      <c r="AN704" s="69"/>
      <c r="AO704" s="69"/>
      <c r="AP704" s="69"/>
      <c r="AQ704" s="69"/>
      <c r="AR704" s="69"/>
      <c r="AS704" s="69"/>
      <c r="AT704" s="69"/>
      <c r="AU704" s="69"/>
      <c r="AV704" s="69"/>
      <c r="AW704" s="69"/>
      <c r="AX704" s="69"/>
      <c r="AY704" s="69"/>
      <c r="AZ704" s="69"/>
      <c r="BA704" s="69"/>
      <c r="BB704" s="69"/>
      <c r="BC704" s="69"/>
      <c r="BD704" s="69"/>
      <c r="BE704" s="69"/>
      <c r="BF704" s="69"/>
      <c r="BG704" s="69"/>
      <c r="BH704" s="69"/>
      <c r="BI704" s="69"/>
      <c r="BJ704" s="69"/>
      <c r="BK704" s="69"/>
      <c r="BL704" s="69"/>
      <c r="BM704" s="69"/>
      <c r="BN704" s="69"/>
      <c r="BO704" s="69"/>
      <c r="BP704" s="69"/>
      <c r="BQ704" s="69"/>
      <c r="BR704" s="69"/>
      <c r="BS704" s="69"/>
      <c r="BT704" s="69"/>
      <c r="BU704" s="69"/>
      <c r="BV704" s="69"/>
      <c r="BW704" s="69"/>
      <c r="BX704" s="69"/>
      <c r="BY704" s="69"/>
      <c r="BZ704" s="69"/>
      <c r="CA704" s="69"/>
      <c r="CB704" s="69"/>
      <c r="CC704" s="69"/>
      <c r="CD704" s="69"/>
      <c r="CE704" s="69"/>
      <c r="CF704" s="69"/>
      <c r="CG704" s="69"/>
      <c r="CH704" s="69"/>
      <c r="CI704" s="69"/>
      <c r="CJ704" s="69"/>
      <c r="CK704" s="69"/>
      <c r="CL704" s="69"/>
      <c r="CM704" s="69"/>
      <c r="CN704" s="69"/>
      <c r="CO704" s="69"/>
      <c r="CP704" s="69"/>
      <c r="CQ704" s="69"/>
      <c r="CR704" s="69"/>
      <c r="CS704" s="69"/>
      <c r="CT704" s="69"/>
      <c r="CU704" s="69"/>
      <c r="CV704" s="69"/>
      <c r="CW704" s="69"/>
      <c r="CX704" s="69"/>
      <c r="CY704" s="69"/>
      <c r="CZ704" s="69"/>
      <c r="DA704" s="69"/>
      <c r="DB704" s="69"/>
      <c r="DC704" s="69"/>
      <c r="DD704" s="69"/>
      <c r="DE704" s="69"/>
      <c r="DF704" s="69"/>
      <c r="DG704" s="69"/>
      <c r="DH704" s="69"/>
      <c r="DI704" s="69"/>
      <c r="DJ704" s="69"/>
      <c r="DK704" s="69"/>
      <c r="DL704" s="69"/>
      <c r="DM704" s="69"/>
      <c r="DN704" s="69"/>
      <c r="DO704" s="69"/>
      <c r="DP704" s="69"/>
      <c r="DQ704" s="69"/>
      <c r="DR704" s="69"/>
      <c r="DS704" s="69"/>
      <c r="DT704" s="69"/>
      <c r="DU704" s="69"/>
      <c r="DV704" s="69"/>
      <c r="DW704" s="69"/>
      <c r="DX704" s="69"/>
      <c r="DY704" s="69"/>
      <c r="DZ704" s="69"/>
      <c r="EA704" s="69"/>
      <c r="EB704" s="69"/>
      <c r="EC704" s="69"/>
      <c r="ED704" s="69"/>
      <c r="EE704" s="69"/>
      <c r="EF704" s="69"/>
      <c r="EG704" s="69"/>
      <c r="EH704" s="69"/>
      <c r="EI704" s="69"/>
      <c r="EJ704" s="69"/>
      <c r="EK704" s="69"/>
      <c r="EL704" s="69"/>
      <c r="EM704" s="69"/>
      <c r="EN704" s="69"/>
      <c r="EO704" s="69"/>
      <c r="EP704" s="69"/>
      <c r="EQ704" s="69"/>
      <c r="ER704" s="69"/>
      <c r="ES704" s="69"/>
      <c r="ET704" s="69"/>
      <c r="EU704" s="69"/>
      <c r="EV704" s="69"/>
      <c r="EW704" s="69"/>
      <c r="EX704" s="69"/>
      <c r="EY704" s="69"/>
      <c r="EZ704" s="69"/>
      <c r="FA704" s="69"/>
      <c r="FB704" s="69"/>
      <c r="FC704" s="69"/>
      <c r="FD704" s="69"/>
      <c r="FE704" s="69"/>
      <c r="FF704" s="69"/>
      <c r="FG704" s="69"/>
      <c r="FH704" s="69"/>
      <c r="FI704" s="69"/>
      <c r="FJ704" s="69"/>
      <c r="FK704" s="69"/>
      <c r="FL704" s="69"/>
      <c r="FM704" s="69"/>
      <c r="FN704" s="69"/>
      <c r="FO704" s="69"/>
      <c r="FP704" s="69"/>
      <c r="FQ704" s="69"/>
      <c r="FR704" s="69"/>
      <c r="FS704" s="69"/>
      <c r="FT704" s="69"/>
      <c r="FU704" s="69"/>
      <c r="FV704" s="69"/>
      <c r="FW704" s="69"/>
      <c r="FX704" s="69"/>
      <c r="FY704" s="69"/>
      <c r="FZ704" s="69"/>
      <c r="GA704" s="69"/>
      <c r="GB704" s="69"/>
      <c r="GC704" s="69"/>
      <c r="GD704" s="69"/>
      <c r="GE704" s="69"/>
      <c r="GF704" s="69"/>
      <c r="GG704" s="69"/>
      <c r="GH704" s="69"/>
      <c r="GI704" s="69"/>
      <c r="GJ704" s="69"/>
      <c r="GK704" s="69"/>
      <c r="GL704" s="69"/>
      <c r="GM704" s="69"/>
      <c r="GN704" s="69"/>
      <c r="GO704" s="69"/>
      <c r="GP704" s="69"/>
      <c r="GQ704" s="69"/>
      <c r="GR704" s="69"/>
      <c r="GS704" s="69"/>
      <c r="GT704" s="69"/>
      <c r="GU704" s="69"/>
    </row>
    <row r="705" spans="1:203" ht="15" customHeight="1" x14ac:dyDescent="0.2">
      <c r="A705" s="2"/>
      <c r="C705" s="84"/>
      <c r="D705" s="13"/>
      <c r="F705" s="207"/>
      <c r="G705" s="136"/>
      <c r="I705" s="76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  <c r="AM705" s="69"/>
      <c r="AN705" s="69"/>
      <c r="AO705" s="69"/>
      <c r="AP705" s="69"/>
      <c r="AQ705" s="69"/>
      <c r="AR705" s="69"/>
      <c r="AS705" s="69"/>
      <c r="AT705" s="69"/>
      <c r="AU705" s="69"/>
      <c r="AV705" s="69"/>
      <c r="AW705" s="69"/>
      <c r="AX705" s="69"/>
      <c r="AY705" s="69"/>
      <c r="AZ705" s="69"/>
      <c r="BA705" s="69"/>
      <c r="BB705" s="69"/>
      <c r="BC705" s="69"/>
      <c r="BD705" s="69"/>
      <c r="BE705" s="69"/>
      <c r="BF705" s="69"/>
      <c r="BG705" s="69"/>
      <c r="BH705" s="69"/>
      <c r="BI705" s="69"/>
      <c r="BJ705" s="69"/>
      <c r="BK705" s="69"/>
      <c r="BL705" s="69"/>
      <c r="BM705" s="69"/>
      <c r="BN705" s="69"/>
      <c r="BO705" s="69"/>
      <c r="BP705" s="69"/>
      <c r="BQ705" s="69"/>
      <c r="BR705" s="69"/>
      <c r="BS705" s="69"/>
      <c r="BT705" s="69"/>
      <c r="BU705" s="69"/>
      <c r="BV705" s="69"/>
      <c r="BW705" s="69"/>
      <c r="BX705" s="69"/>
      <c r="BY705" s="69"/>
      <c r="BZ705" s="69"/>
      <c r="CA705" s="69"/>
      <c r="CB705" s="69"/>
      <c r="CC705" s="69"/>
      <c r="CD705" s="69"/>
      <c r="CE705" s="69"/>
      <c r="CF705" s="69"/>
      <c r="CG705" s="69"/>
      <c r="CH705" s="69"/>
      <c r="CI705" s="69"/>
      <c r="CJ705" s="69"/>
      <c r="CK705" s="69"/>
      <c r="CL705" s="69"/>
      <c r="CM705" s="69"/>
      <c r="CN705" s="69"/>
      <c r="CO705" s="69"/>
      <c r="CP705" s="69"/>
      <c r="CQ705" s="69"/>
      <c r="CR705" s="69"/>
      <c r="CS705" s="69"/>
      <c r="CT705" s="69"/>
      <c r="CU705" s="69"/>
      <c r="CV705" s="69"/>
      <c r="CW705" s="69"/>
      <c r="CX705" s="69"/>
      <c r="CY705" s="69"/>
      <c r="CZ705" s="69"/>
      <c r="DA705" s="69"/>
      <c r="DB705" s="69"/>
      <c r="DC705" s="69"/>
      <c r="DD705" s="69"/>
      <c r="DE705" s="69"/>
      <c r="DF705" s="69"/>
      <c r="DG705" s="69"/>
      <c r="DH705" s="69"/>
      <c r="DI705" s="69"/>
      <c r="DJ705" s="69"/>
      <c r="DK705" s="69"/>
      <c r="DL705" s="69"/>
      <c r="DM705" s="69"/>
      <c r="DN705" s="69"/>
      <c r="DO705" s="69"/>
      <c r="DP705" s="69"/>
      <c r="DQ705" s="69"/>
      <c r="DR705" s="69"/>
      <c r="DS705" s="69"/>
      <c r="DT705" s="69"/>
      <c r="DU705" s="69"/>
      <c r="DV705" s="69"/>
      <c r="DW705" s="69"/>
      <c r="DX705" s="69"/>
      <c r="DY705" s="69"/>
      <c r="DZ705" s="69"/>
      <c r="EA705" s="69"/>
      <c r="EB705" s="69"/>
      <c r="EC705" s="69"/>
      <c r="ED705" s="69"/>
      <c r="EE705" s="69"/>
      <c r="EF705" s="69"/>
      <c r="EG705" s="69"/>
      <c r="EH705" s="69"/>
      <c r="EI705" s="69"/>
      <c r="EJ705" s="69"/>
      <c r="EK705" s="69"/>
      <c r="EL705" s="69"/>
      <c r="EM705" s="69"/>
      <c r="EN705" s="69"/>
      <c r="EO705" s="69"/>
      <c r="EP705" s="69"/>
      <c r="EQ705" s="69"/>
      <c r="ER705" s="69"/>
      <c r="ES705" s="69"/>
      <c r="ET705" s="69"/>
      <c r="EU705" s="69"/>
      <c r="EV705" s="69"/>
      <c r="EW705" s="69"/>
      <c r="EX705" s="69"/>
      <c r="EY705" s="69"/>
      <c r="EZ705" s="69"/>
      <c r="FA705" s="69"/>
      <c r="FB705" s="69"/>
      <c r="FC705" s="69"/>
      <c r="FD705" s="69"/>
      <c r="FE705" s="69"/>
      <c r="FF705" s="69"/>
      <c r="FG705" s="69"/>
      <c r="FH705" s="69"/>
      <c r="FI705" s="69"/>
      <c r="FJ705" s="69"/>
      <c r="FK705" s="69"/>
      <c r="FL705" s="69"/>
      <c r="FM705" s="69"/>
      <c r="FN705" s="69"/>
      <c r="FO705" s="69"/>
      <c r="FP705" s="69"/>
      <c r="FQ705" s="69"/>
      <c r="FR705" s="69"/>
      <c r="FS705" s="69"/>
      <c r="FT705" s="69"/>
      <c r="FU705" s="69"/>
      <c r="FV705" s="69"/>
      <c r="FW705" s="69"/>
      <c r="FX705" s="69"/>
      <c r="FY705" s="69"/>
      <c r="FZ705" s="69"/>
      <c r="GA705" s="69"/>
      <c r="GB705" s="69"/>
      <c r="GC705" s="69"/>
      <c r="GD705" s="69"/>
      <c r="GE705" s="69"/>
      <c r="GF705" s="69"/>
      <c r="GG705" s="69"/>
      <c r="GH705" s="69"/>
      <c r="GI705" s="69"/>
      <c r="GJ705" s="69"/>
      <c r="GK705" s="69"/>
      <c r="GL705" s="69"/>
      <c r="GM705" s="69"/>
      <c r="GN705" s="69"/>
      <c r="GO705" s="69"/>
      <c r="GP705" s="69"/>
      <c r="GQ705" s="69"/>
      <c r="GR705" s="69"/>
      <c r="GS705" s="69"/>
      <c r="GT705" s="69"/>
      <c r="GU705" s="69"/>
    </row>
    <row r="706" spans="1:203" ht="15" customHeight="1" x14ac:dyDescent="0.2">
      <c r="E706" s="80"/>
      <c r="F706" s="207"/>
      <c r="G706" s="137"/>
      <c r="I706" s="6"/>
      <c r="J706" s="6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  <c r="AM706" s="69"/>
      <c r="AN706" s="69"/>
      <c r="AO706" s="69"/>
      <c r="AP706" s="69"/>
      <c r="AQ706" s="69"/>
      <c r="AR706" s="69"/>
      <c r="AS706" s="69"/>
      <c r="AT706" s="69"/>
      <c r="AU706" s="69"/>
      <c r="AV706" s="69"/>
      <c r="AW706" s="69"/>
      <c r="AX706" s="69"/>
      <c r="AY706" s="69"/>
      <c r="AZ706" s="69"/>
      <c r="BA706" s="69"/>
      <c r="BB706" s="69"/>
      <c r="BC706" s="69"/>
      <c r="BD706" s="69"/>
      <c r="BE706" s="69"/>
      <c r="BF706" s="69"/>
      <c r="BG706" s="69"/>
      <c r="BH706" s="69"/>
      <c r="BI706" s="69"/>
      <c r="BJ706" s="69"/>
      <c r="BK706" s="69"/>
      <c r="BL706" s="69"/>
      <c r="BM706" s="69"/>
      <c r="BN706" s="69"/>
      <c r="BO706" s="69"/>
      <c r="BP706" s="69"/>
      <c r="BQ706" s="69"/>
      <c r="BR706" s="69"/>
      <c r="BS706" s="69"/>
      <c r="BT706" s="69"/>
      <c r="BU706" s="69"/>
      <c r="BV706" s="69"/>
      <c r="BW706" s="69"/>
      <c r="BX706" s="69"/>
      <c r="BY706" s="69"/>
      <c r="BZ706" s="69"/>
      <c r="CA706" s="69"/>
      <c r="CB706" s="69"/>
      <c r="CC706" s="69"/>
      <c r="CD706" s="69"/>
      <c r="CE706" s="69"/>
      <c r="CF706" s="69"/>
      <c r="CG706" s="69"/>
      <c r="CH706" s="69"/>
      <c r="CI706" s="69"/>
      <c r="CJ706" s="69"/>
      <c r="CK706" s="69"/>
      <c r="CL706" s="69"/>
      <c r="CM706" s="69"/>
      <c r="CN706" s="69"/>
      <c r="CO706" s="69"/>
      <c r="CP706" s="69"/>
      <c r="CQ706" s="69"/>
      <c r="CR706" s="69"/>
      <c r="CS706" s="69"/>
      <c r="CT706" s="69"/>
      <c r="CU706" s="69"/>
      <c r="CV706" s="69"/>
      <c r="CW706" s="69"/>
      <c r="CX706" s="69"/>
      <c r="CY706" s="69"/>
      <c r="CZ706" s="69"/>
      <c r="DA706" s="69"/>
      <c r="DB706" s="69"/>
      <c r="DC706" s="69"/>
      <c r="DD706" s="69"/>
      <c r="DE706" s="69"/>
      <c r="DF706" s="69"/>
      <c r="DG706" s="69"/>
      <c r="DH706" s="69"/>
      <c r="DI706" s="69"/>
      <c r="DJ706" s="69"/>
      <c r="DK706" s="69"/>
      <c r="DL706" s="69"/>
      <c r="DM706" s="69"/>
      <c r="DN706" s="69"/>
      <c r="DO706" s="69"/>
      <c r="DP706" s="69"/>
      <c r="DQ706" s="69"/>
      <c r="DR706" s="69"/>
      <c r="DS706" s="69"/>
      <c r="DT706" s="69"/>
      <c r="DU706" s="69"/>
      <c r="DV706" s="69"/>
      <c r="DW706" s="69"/>
      <c r="DX706" s="69"/>
      <c r="DY706" s="69"/>
      <c r="DZ706" s="69"/>
      <c r="EA706" s="69"/>
      <c r="EB706" s="69"/>
      <c r="EC706" s="69"/>
      <c r="ED706" s="69"/>
      <c r="EE706" s="69"/>
      <c r="EF706" s="69"/>
      <c r="EG706" s="69"/>
      <c r="EH706" s="69"/>
      <c r="EI706" s="69"/>
      <c r="EJ706" s="69"/>
      <c r="EK706" s="69"/>
      <c r="EL706" s="69"/>
      <c r="EM706" s="69"/>
      <c r="EN706" s="69"/>
      <c r="EO706" s="69"/>
      <c r="EP706" s="69"/>
      <c r="EQ706" s="69"/>
      <c r="ER706" s="69"/>
      <c r="ES706" s="69"/>
      <c r="ET706" s="69"/>
      <c r="EU706" s="69"/>
      <c r="EV706" s="69"/>
      <c r="EW706" s="69"/>
      <c r="EX706" s="69"/>
      <c r="EY706" s="69"/>
      <c r="EZ706" s="69"/>
      <c r="FA706" s="69"/>
      <c r="FB706" s="69"/>
      <c r="FC706" s="69"/>
      <c r="FD706" s="69"/>
      <c r="FE706" s="69"/>
      <c r="FF706" s="69"/>
      <c r="FG706" s="69"/>
      <c r="FH706" s="69"/>
      <c r="FI706" s="69"/>
      <c r="FJ706" s="69"/>
      <c r="FK706" s="69"/>
      <c r="FL706" s="69"/>
      <c r="FM706" s="69"/>
      <c r="FN706" s="69"/>
      <c r="FO706" s="69"/>
      <c r="FP706" s="69"/>
      <c r="FQ706" s="69"/>
      <c r="FR706" s="69"/>
      <c r="FS706" s="69"/>
      <c r="FT706" s="69"/>
      <c r="FU706" s="69"/>
      <c r="FV706" s="69"/>
      <c r="FW706" s="69"/>
      <c r="FX706" s="69"/>
      <c r="FY706" s="69"/>
      <c r="FZ706" s="69"/>
      <c r="GA706" s="69"/>
      <c r="GB706" s="69"/>
      <c r="GC706" s="69"/>
      <c r="GD706" s="69"/>
      <c r="GE706" s="69"/>
      <c r="GF706" s="69"/>
      <c r="GG706" s="69"/>
      <c r="GH706" s="69"/>
      <c r="GI706" s="69"/>
      <c r="GJ706" s="69"/>
      <c r="GK706" s="69"/>
      <c r="GL706" s="69"/>
      <c r="GM706" s="69"/>
      <c r="GN706" s="69"/>
      <c r="GO706" s="69"/>
      <c r="GP706" s="69"/>
      <c r="GQ706" s="69"/>
      <c r="GR706" s="69"/>
      <c r="GS706" s="69"/>
      <c r="GT706" s="69"/>
    </row>
    <row r="707" spans="1:203" ht="15" customHeight="1" x14ac:dyDescent="0.2">
      <c r="D707" s="70" t="s">
        <v>129</v>
      </c>
      <c r="E707" s="161"/>
      <c r="F707" s="208" t="s">
        <v>164</v>
      </c>
      <c r="G707" s="162" t="s">
        <v>165</v>
      </c>
      <c r="H707" s="250" t="s">
        <v>130</v>
      </c>
      <c r="I707" s="6"/>
      <c r="J707" s="6"/>
    </row>
    <row r="708" spans="1:203" x14ac:dyDescent="0.2">
      <c r="D708" s="71" t="s">
        <v>130</v>
      </c>
      <c r="E708" s="163" t="s">
        <v>117</v>
      </c>
      <c r="F708" s="209" t="s">
        <v>76</v>
      </c>
      <c r="G708" s="162" t="s">
        <v>166</v>
      </c>
      <c r="H708" s="250"/>
      <c r="I708" s="6"/>
      <c r="J708" s="6"/>
    </row>
    <row r="709" spans="1:203" x14ac:dyDescent="0.2">
      <c r="D709" s="72" t="s">
        <v>76</v>
      </c>
      <c r="E709" s="139">
        <v>9303459.3110000007</v>
      </c>
      <c r="F709" s="210">
        <f>G440+G447+G444+G445+G449+G462+G457+G461+G458+G459+G476+G470+G475+G472+G473+G481+G488+G485+G486+G490+G495+G498+G499+G500+G510</f>
        <v>445536.9</v>
      </c>
      <c r="G709" s="138">
        <f t="shared" ref="G709:G715" si="58">E709-F709</f>
        <v>8857922.4110000003</v>
      </c>
      <c r="H709" s="134">
        <v>40</v>
      </c>
      <c r="I709" s="6"/>
      <c r="J709" s="6"/>
    </row>
    <row r="710" spans="1:203" x14ac:dyDescent="0.2">
      <c r="D710" s="75" t="s">
        <v>131</v>
      </c>
      <c r="E710" s="139">
        <v>658664.35550000006</v>
      </c>
      <c r="F710" s="211">
        <f>G586+G587+G588+G589+G585</f>
        <v>1214541.7439999999</v>
      </c>
      <c r="G710" s="138">
        <f t="shared" si="58"/>
        <v>-555877.38849999988</v>
      </c>
      <c r="H710" s="135" t="s">
        <v>132</v>
      </c>
      <c r="I710" s="6"/>
      <c r="J710" s="6"/>
    </row>
    <row r="711" spans="1:203" x14ac:dyDescent="0.2">
      <c r="D711" s="75" t="s">
        <v>133</v>
      </c>
      <c r="E711" s="73">
        <v>2670897.4645000002</v>
      </c>
      <c r="F711" s="212">
        <f>G561+G565+G566+G567+G568</f>
        <v>0</v>
      </c>
      <c r="G711" s="138">
        <f t="shared" si="58"/>
        <v>2670897.4645000002</v>
      </c>
      <c r="H711" s="135" t="s">
        <v>134</v>
      </c>
      <c r="I711" s="6"/>
      <c r="J711" s="6"/>
    </row>
    <row r="712" spans="1:203" x14ac:dyDescent="0.2">
      <c r="D712" s="75" t="s">
        <v>135</v>
      </c>
      <c r="E712" s="73">
        <v>1231317.3089999999</v>
      </c>
      <c r="F712" s="212">
        <f>G537+G541+G542+G544+G543</f>
        <v>31836.511999999999</v>
      </c>
      <c r="G712" s="138">
        <f t="shared" si="58"/>
        <v>1199480.7969999998</v>
      </c>
      <c r="H712" s="135" t="s">
        <v>136</v>
      </c>
      <c r="I712" s="6"/>
      <c r="J712" s="6"/>
    </row>
    <row r="713" spans="1:203" x14ac:dyDescent="0.2">
      <c r="D713" s="75" t="s">
        <v>137</v>
      </c>
      <c r="E713" s="73">
        <v>1863920.1939999999</v>
      </c>
      <c r="F713" s="212">
        <f>G515+G519+G520+G521+G522</f>
        <v>356399.15199999994</v>
      </c>
      <c r="G713" s="138">
        <f t="shared" si="58"/>
        <v>1507521.0419999999</v>
      </c>
      <c r="H713" s="135" t="s">
        <v>138</v>
      </c>
      <c r="I713" s="6"/>
      <c r="J713" s="6"/>
    </row>
    <row r="714" spans="1:203" x14ac:dyDescent="0.2">
      <c r="D714" s="48" t="s">
        <v>139</v>
      </c>
      <c r="E714" s="73">
        <v>852202.76549999986</v>
      </c>
      <c r="F714" s="212">
        <f>G615+G614+G618+G622+G623+G619</f>
        <v>1003563.5719999998</v>
      </c>
      <c r="G714" s="138">
        <f t="shared" si="58"/>
        <v>-151360.80649999995</v>
      </c>
      <c r="H714" s="135" t="s">
        <v>140</v>
      </c>
    </row>
    <row r="715" spans="1:203" x14ac:dyDescent="0.2">
      <c r="D715" s="56" t="s">
        <v>90</v>
      </c>
      <c r="E715" s="55">
        <v>874373.72750000004</v>
      </c>
      <c r="F715" s="212"/>
      <c r="G715" s="138">
        <f t="shared" si="58"/>
        <v>874373.72750000004</v>
      </c>
      <c r="H715" s="164" t="s">
        <v>167</v>
      </c>
    </row>
    <row r="716" spans="1:203" x14ac:dyDescent="0.2">
      <c r="D716" s="19" t="s">
        <v>141</v>
      </c>
      <c r="E716" s="77">
        <v>17454835.127</v>
      </c>
      <c r="F716" s="213">
        <f>SUM(F709:F715)</f>
        <v>3051877.88</v>
      </c>
      <c r="G716" s="128">
        <f>SUM(G709:G715)</f>
        <v>14402957.247000001</v>
      </c>
      <c r="H716" s="105"/>
    </row>
    <row r="724" spans="4:10" ht="15" x14ac:dyDescent="0.25">
      <c r="D724" s="6"/>
      <c r="E724" s="140">
        <v>3463652.46</v>
      </c>
      <c r="I724" s="6"/>
      <c r="J724" s="6"/>
    </row>
    <row r="725" spans="4:10" ht="15" x14ac:dyDescent="0.25">
      <c r="D725" s="6"/>
      <c r="E725" s="140">
        <v>230223.22</v>
      </c>
      <c r="I725" s="6"/>
      <c r="J725" s="6"/>
    </row>
    <row r="726" spans="4:10" ht="15" x14ac:dyDescent="0.25">
      <c r="D726" s="6"/>
      <c r="E726" s="140">
        <v>69519.44</v>
      </c>
      <c r="I726" s="6"/>
      <c r="J726" s="6"/>
    </row>
    <row r="727" spans="4:10" ht="15" x14ac:dyDescent="0.25">
      <c r="D727" s="6"/>
      <c r="E727" s="140">
        <f>499743.81+138013.88</f>
        <v>637757.68999999994</v>
      </c>
      <c r="I727" s="6"/>
      <c r="J727" s="6"/>
    </row>
    <row r="728" spans="4:10" ht="15" x14ac:dyDescent="0.25">
      <c r="D728" s="6"/>
      <c r="E728" s="140">
        <f>81901.55+53143.65</f>
        <v>135045.20000000001</v>
      </c>
      <c r="I728" s="6"/>
      <c r="J728" s="6"/>
    </row>
    <row r="729" spans="4:10" ht="15" x14ac:dyDescent="0.25">
      <c r="D729" s="6"/>
      <c r="E729" s="140">
        <f>824992.52+21000+227838.15</f>
        <v>1073830.67</v>
      </c>
      <c r="F729" s="214">
        <f>E729/33*40</f>
        <v>1301612.9333333331</v>
      </c>
      <c r="I729" s="6"/>
      <c r="J729" s="6"/>
    </row>
    <row r="730" spans="4:10" x14ac:dyDescent="0.2">
      <c r="D730" s="6"/>
      <c r="E730" s="17">
        <f>SUM(E724:E729)+35000</f>
        <v>5645028.6800000006</v>
      </c>
      <c r="F730" s="215">
        <f>E724+E725+E726+E727+E728+F729</f>
        <v>5837810.9433333334</v>
      </c>
      <c r="G730" s="127">
        <f>F730*1.0359</f>
        <v>6047388.356199</v>
      </c>
      <c r="H730" s="216">
        <f>G730*13.6</f>
        <v>82244481.644306391</v>
      </c>
      <c r="I730" s="6"/>
      <c r="J730" s="6"/>
    </row>
  </sheetData>
  <mergeCells count="10">
    <mergeCell ref="A5:H5"/>
    <mergeCell ref="A6:H6"/>
    <mergeCell ref="A7:H7"/>
    <mergeCell ref="A20:H20"/>
    <mergeCell ref="G25:H25"/>
    <mergeCell ref="K653:Q653"/>
    <mergeCell ref="A666:G666"/>
    <mergeCell ref="D672:H672"/>
    <mergeCell ref="D695:H695"/>
    <mergeCell ref="H707:H708"/>
  </mergeCells>
  <phoneticPr fontId="17" type="noConversion"/>
  <hyperlinks>
    <hyperlink ref="A23" r:id="rId1" display="DATA:11/08/2016" xr:uid="{60BE84B7-7916-4EFB-A5E4-A6256E122935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cp:lastPrinted>2021-10-21T17:23:12Z</cp:lastPrinted>
  <dcterms:created xsi:type="dcterms:W3CDTF">2020-08-12T17:15:49Z</dcterms:created>
  <dcterms:modified xsi:type="dcterms:W3CDTF">2021-11-04T17:14:44Z</dcterms:modified>
</cp:coreProperties>
</file>