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7955" windowHeight="6705" activeTab="8"/>
  </bookViews>
  <sheets>
    <sheet name="I_Anexo" sheetId="13" r:id="rId1"/>
    <sheet name="II_Comp" sheetId="1" r:id="rId2"/>
    <sheet name="III_AoAno" sheetId="2" r:id="rId3"/>
    <sheet name="IV_Patrim" sheetId="3" r:id="rId4"/>
    <sheet name="V_Alinaç" sheetId="7" r:id="rId5"/>
    <sheet name="VI_Renun" sheetId="6" r:id="rId6"/>
    <sheet name="VII_RPPS" sheetId="9" r:id="rId7"/>
    <sheet name="VIII_Marg" sheetId="4" r:id="rId8"/>
    <sheet name="Risco" sheetId="5" r:id="rId9"/>
    <sheet name="Operaç_Créd" sheetId="8" r:id="rId10"/>
    <sheet name="RCL_Projetada" sheetId="10" r:id="rId11"/>
    <sheet name="Duodécimo" sheetId="11" r:id="rId12"/>
    <sheet name="Conv-Obras" sheetId="12" r:id="rId13"/>
  </sheets>
  <externalReferences>
    <externalReference r:id="rId14"/>
    <externalReference r:id="rId15"/>
  </externalReferences>
  <calcPr calcId="125725"/>
</workbook>
</file>

<file path=xl/calcChain.xml><?xml version="1.0" encoding="utf-8"?>
<calcChain xmlns="http://schemas.openxmlformats.org/spreadsheetml/2006/main">
  <c r="F14" i="5"/>
  <c r="D14"/>
  <c r="G13" i="6"/>
  <c r="H13"/>
  <c r="K33" i="2"/>
  <c r="E57" i="11"/>
  <c r="F37" i="12"/>
  <c r="E37"/>
  <c r="G36"/>
  <c r="G35"/>
  <c r="G34"/>
  <c r="G33"/>
  <c r="G32"/>
  <c r="G31"/>
  <c r="G30"/>
  <c r="G29"/>
  <c r="G28"/>
  <c r="G27"/>
  <c r="G37" s="1"/>
  <c r="G26"/>
  <c r="E25"/>
  <c r="P23"/>
  <c r="G23"/>
  <c r="G22"/>
  <c r="G21"/>
  <c r="G20"/>
  <c r="G19"/>
  <c r="G18"/>
  <c r="G17"/>
  <c r="G16"/>
  <c r="G15"/>
  <c r="F14"/>
  <c r="F25" s="1"/>
  <c r="G12"/>
  <c r="G11"/>
  <c r="G9"/>
  <c r="D36" i="11" l="1"/>
  <c r="C28"/>
  <c r="C25"/>
  <c r="C24"/>
  <c r="C23"/>
  <c r="C22"/>
  <c r="C21"/>
  <c r="C20"/>
  <c r="C19"/>
  <c r="C16"/>
  <c r="C15"/>
  <c r="C14"/>
  <c r="C13"/>
  <c r="C12"/>
  <c r="C8"/>
  <c r="C7"/>
  <c r="C14" i="10"/>
  <c r="C31" s="1"/>
  <c r="I13" i="2"/>
  <c r="I12"/>
  <c r="I11"/>
  <c r="E20" i="8"/>
  <c r="C20"/>
  <c r="B47" i="3"/>
  <c r="B38"/>
  <c r="B30"/>
  <c r="B22"/>
  <c r="B13" s="1"/>
  <c r="B18"/>
  <c r="B26" s="1"/>
  <c r="B35" s="1"/>
  <c r="B43" s="1"/>
  <c r="G47"/>
  <c r="G45"/>
  <c r="G38"/>
  <c r="G36"/>
  <c r="G30"/>
  <c r="G28"/>
  <c r="G22"/>
  <c r="G20"/>
  <c r="B11" i="7"/>
  <c r="D19" i="5"/>
  <c r="G16" i="2"/>
  <c r="G18"/>
  <c r="G17"/>
  <c r="D41" i="10" l="1"/>
  <c r="G23" i="3"/>
  <c r="F16" i="2"/>
  <c r="G14"/>
  <c r="Q21"/>
  <c r="R21"/>
  <c r="P21"/>
  <c r="I14" s="1"/>
  <c r="B19" i="4" s="1"/>
  <c r="G24" i="3" l="1"/>
  <c r="E20"/>
  <c r="E22" l="1"/>
  <c r="E23"/>
  <c r="E24" s="1"/>
  <c r="G13" i="2"/>
  <c r="G12"/>
  <c r="B12" i="4" s="1"/>
  <c r="G11" i="2"/>
  <c r="C14"/>
  <c r="C13"/>
  <c r="C12"/>
  <c r="B14"/>
  <c r="B13"/>
  <c r="B12"/>
  <c r="E14"/>
  <c r="E13"/>
  <c r="E12"/>
  <c r="E11"/>
  <c r="G18" i="3"/>
  <c r="G26" s="1"/>
  <c r="G35" s="1"/>
  <c r="G43" s="1"/>
  <c r="E18"/>
  <c r="E26" s="1"/>
  <c r="E35" s="1"/>
  <c r="E43" s="1"/>
  <c r="C18"/>
  <c r="C26" s="1"/>
  <c r="C35" s="1"/>
  <c r="C43" s="1"/>
  <c r="G34" i="2" l="1"/>
  <c r="G30" s="1"/>
  <c r="E34"/>
  <c r="E23" s="1"/>
  <c r="C34"/>
  <c r="C28" s="1"/>
  <c r="B34"/>
  <c r="I33"/>
  <c r="D15" i="1"/>
  <c r="D14"/>
  <c r="B15"/>
  <c r="B14"/>
  <c r="E14"/>
  <c r="D13"/>
  <c r="E13" s="1"/>
  <c r="D12"/>
  <c r="B13"/>
  <c r="B16" s="1"/>
  <c r="C16" s="1"/>
  <c r="D22" i="7"/>
  <c r="C22"/>
  <c r="C17" s="1"/>
  <c r="B22"/>
  <c r="D18"/>
  <c r="D17" s="1"/>
  <c r="C18"/>
  <c r="B18"/>
  <c r="B17" s="1"/>
  <c r="D11"/>
  <c r="C11"/>
  <c r="F22" i="5"/>
  <c r="D22"/>
  <c r="B18" i="4"/>
  <c r="B14"/>
  <c r="B15"/>
  <c r="B17" s="1"/>
  <c r="B21" s="1"/>
  <c r="E26" i="2"/>
  <c r="C26"/>
  <c r="J18"/>
  <c r="H18"/>
  <c r="C30"/>
  <c r="J17"/>
  <c r="F17"/>
  <c r="C29"/>
  <c r="D16"/>
  <c r="J14"/>
  <c r="H14"/>
  <c r="G26"/>
  <c r="F14"/>
  <c r="D14"/>
  <c r="B26"/>
  <c r="J13"/>
  <c r="H13"/>
  <c r="G25"/>
  <c r="F13"/>
  <c r="C25"/>
  <c r="D13"/>
  <c r="I15"/>
  <c r="G15"/>
  <c r="E15"/>
  <c r="C15"/>
  <c r="G48" i="3"/>
  <c r="G49" s="1"/>
  <c r="G39"/>
  <c r="G40" s="1"/>
  <c r="G31"/>
  <c r="G32" s="1"/>
  <c r="G12"/>
  <c r="E12"/>
  <c r="C12"/>
  <c r="G11"/>
  <c r="F19" i="1"/>
  <c r="G19" s="1"/>
  <c r="E19"/>
  <c r="C19"/>
  <c r="E18"/>
  <c r="F18"/>
  <c r="G18" s="1"/>
  <c r="F17"/>
  <c r="G17" s="1"/>
  <c r="E17"/>
  <c r="C17"/>
  <c r="F15"/>
  <c r="G15" s="1"/>
  <c r="E15"/>
  <c r="C15"/>
  <c r="C14"/>
  <c r="F13"/>
  <c r="C13"/>
  <c r="F12"/>
  <c r="G12" s="1"/>
  <c r="E12"/>
  <c r="C12"/>
  <c r="G23" i="2" l="1"/>
  <c r="I34"/>
  <c r="I23" s="1"/>
  <c r="K17"/>
  <c r="L17" s="1"/>
  <c r="K18"/>
  <c r="L18" s="1"/>
  <c r="K16"/>
  <c r="K13"/>
  <c r="B24"/>
  <c r="B29"/>
  <c r="D29" s="1"/>
  <c r="B28"/>
  <c r="D28" s="1"/>
  <c r="B23"/>
  <c r="D16" i="1"/>
  <c r="E16" s="1"/>
  <c r="G13" i="3"/>
  <c r="G14" s="1"/>
  <c r="D27" i="7"/>
  <c r="C27" s="1"/>
  <c r="B27" s="1"/>
  <c r="F23" i="5"/>
  <c r="K34" i="2"/>
  <c r="C23"/>
  <c r="F23" s="1"/>
  <c r="D26"/>
  <c r="G28"/>
  <c r="G29"/>
  <c r="F26"/>
  <c r="I26"/>
  <c r="J26" s="1"/>
  <c r="J23"/>
  <c r="I28"/>
  <c r="J28" s="1"/>
  <c r="E28"/>
  <c r="F28" s="1"/>
  <c r="E29"/>
  <c r="F29" s="1"/>
  <c r="E30"/>
  <c r="F30" s="1"/>
  <c r="E25"/>
  <c r="H25" s="1"/>
  <c r="H30"/>
  <c r="H16"/>
  <c r="J16"/>
  <c r="F16" i="1"/>
  <c r="G16" s="1"/>
  <c r="F14"/>
  <c r="G14" s="1"/>
  <c r="C27" i="2"/>
  <c r="G27"/>
  <c r="H15"/>
  <c r="H23"/>
  <c r="H26"/>
  <c r="E27"/>
  <c r="F15"/>
  <c r="I27"/>
  <c r="J15"/>
  <c r="H29"/>
  <c r="D11"/>
  <c r="F11"/>
  <c r="H11"/>
  <c r="J11"/>
  <c r="D12"/>
  <c r="F12"/>
  <c r="H12"/>
  <c r="J12"/>
  <c r="K14"/>
  <c r="B15"/>
  <c r="B27" s="1"/>
  <c r="L16"/>
  <c r="H17"/>
  <c r="F18"/>
  <c r="C24"/>
  <c r="E24"/>
  <c r="G24"/>
  <c r="I24"/>
  <c r="B25"/>
  <c r="D25" s="1"/>
  <c r="K11"/>
  <c r="K12"/>
  <c r="D17"/>
  <c r="H28" i="3"/>
  <c r="E28"/>
  <c r="E30" s="1"/>
  <c r="H29"/>
  <c r="H47"/>
  <c r="H46"/>
  <c r="H45"/>
  <c r="E45"/>
  <c r="E47" s="1"/>
  <c r="H20"/>
  <c r="H21"/>
  <c r="H38"/>
  <c r="H37"/>
  <c r="E36"/>
  <c r="H22"/>
  <c r="H30"/>
  <c r="H36"/>
  <c r="G13" i="1"/>
  <c r="C18"/>
  <c r="F25" i="2" l="1"/>
  <c r="D23"/>
  <c r="I25"/>
  <c r="J25" s="1"/>
  <c r="I30"/>
  <c r="J30" s="1"/>
  <c r="I29"/>
  <c r="J29" s="1"/>
  <c r="D24"/>
  <c r="E38" i="3"/>
  <c r="E39"/>
  <c r="E40" s="1"/>
  <c r="G16"/>
  <c r="E11"/>
  <c r="H48"/>
  <c r="H39"/>
  <c r="H12"/>
  <c r="H11"/>
  <c r="H13"/>
  <c r="K30" i="2"/>
  <c r="L30" s="1"/>
  <c r="K29"/>
  <c r="K28"/>
  <c r="L28" s="1"/>
  <c r="L29"/>
  <c r="H28"/>
  <c r="F27"/>
  <c r="F24"/>
  <c r="J24"/>
  <c r="J27"/>
  <c r="D15"/>
  <c r="D18"/>
  <c r="B30"/>
  <c r="D30" s="1"/>
  <c r="K15"/>
  <c r="K24"/>
  <c r="L24" s="1"/>
  <c r="L12"/>
  <c r="K25"/>
  <c r="L25" s="1"/>
  <c r="L13"/>
  <c r="H24"/>
  <c r="H27"/>
  <c r="D27"/>
  <c r="K23"/>
  <c r="L23" s="1"/>
  <c r="L11"/>
  <c r="L14"/>
  <c r="K26"/>
  <c r="L26" s="1"/>
  <c r="F36" i="3"/>
  <c r="H23"/>
  <c r="H31"/>
  <c r="H14" l="1"/>
  <c r="K27" i="2"/>
  <c r="L27" s="1"/>
  <c r="L15"/>
  <c r="E13" i="3"/>
  <c r="E14" s="1"/>
  <c r="E16" s="1"/>
  <c r="C36"/>
  <c r="C38" s="1"/>
  <c r="F37"/>
  <c r="E48"/>
  <c r="E49" s="1"/>
  <c r="F22"/>
  <c r="F38"/>
  <c r="E31"/>
  <c r="E32" s="1"/>
  <c r="F39" l="1"/>
  <c r="F46"/>
  <c r="C45"/>
  <c r="C47" s="1"/>
  <c r="F45"/>
  <c r="F29"/>
  <c r="C28"/>
  <c r="C30" s="1"/>
  <c r="F28"/>
  <c r="F21"/>
  <c r="C20"/>
  <c r="C22" s="1"/>
  <c r="F20"/>
  <c r="C39"/>
  <c r="C11"/>
  <c r="F30"/>
  <c r="F47"/>
  <c r="C40" l="1"/>
  <c r="B36"/>
  <c r="B39" s="1"/>
  <c r="F23"/>
  <c r="F13"/>
  <c r="D38"/>
  <c r="D37"/>
  <c r="F11"/>
  <c r="F12"/>
  <c r="C31"/>
  <c r="F31"/>
  <c r="D36"/>
  <c r="F48"/>
  <c r="C32" l="1"/>
  <c r="B28"/>
  <c r="B31" s="1"/>
  <c r="D39"/>
  <c r="D29"/>
  <c r="D28"/>
  <c r="F14"/>
  <c r="C13"/>
  <c r="C14" s="1"/>
  <c r="B11" s="1"/>
  <c r="B14" s="1"/>
  <c r="D30"/>
  <c r="C48"/>
  <c r="C23"/>
  <c r="B20" s="1"/>
  <c r="B23" s="1"/>
  <c r="C49" l="1"/>
  <c r="B45"/>
  <c r="B48" s="1"/>
  <c r="A16" s="1"/>
  <c r="D22"/>
  <c r="C24"/>
  <c r="D12"/>
  <c r="C16"/>
  <c r="D31"/>
  <c r="D11"/>
  <c r="D46"/>
  <c r="D45"/>
  <c r="D21"/>
  <c r="D20"/>
  <c r="D47"/>
  <c r="D13"/>
  <c r="D48" l="1"/>
  <c r="D14"/>
  <c r="D23"/>
</calcChain>
</file>

<file path=xl/sharedStrings.xml><?xml version="1.0" encoding="utf-8"?>
<sst xmlns="http://schemas.openxmlformats.org/spreadsheetml/2006/main" count="1720" uniqueCount="1284">
  <si>
    <t>PREFEITURA MUNICIPAL DE CAÇAPAVA DO SUL/RS.</t>
  </si>
  <si>
    <t>ANEXO DE  METAS FISCAIS</t>
  </si>
  <si>
    <t>&lt;ANO DE REFERÊNCIA&gt;</t>
  </si>
  <si>
    <t>AMF - Demonstrativo II (LRF, art. 4º, §2º, inciso I)</t>
  </si>
  <si>
    <t>ESPECIFICAÇÃO</t>
  </si>
  <si>
    <t>Metas Previstas em</t>
  </si>
  <si>
    <t>% PIB</t>
  </si>
  <si>
    <t xml:space="preserve">Metas Realizadas em </t>
  </si>
  <si>
    <t>Variação</t>
  </si>
  <si>
    <t>Valor</t>
  </si>
  <si>
    <t>%</t>
  </si>
  <si>
    <t>(a)</t>
  </si>
  <si>
    <t>(b)</t>
  </si>
  <si>
    <t>(c) = (b-a)</t>
  </si>
  <si>
    <t>(c/a) x 100</t>
  </si>
  <si>
    <t>Receita Total</t>
  </si>
  <si>
    <t>Receitas Primárias (I)</t>
  </si>
  <si>
    <t>Despesa Total Atualizada</t>
  </si>
  <si>
    <t>Despesas Primárias (II)</t>
  </si>
  <si>
    <t>Resultado Primário (III) = (I–II)</t>
  </si>
  <si>
    <t>Resultado Nominal</t>
  </si>
  <si>
    <t xml:space="preserve">Dívida Pública Consolidada </t>
  </si>
  <si>
    <t>Dívida Consolidada Líquida</t>
  </si>
  <si>
    <t>PIB:</t>
  </si>
  <si>
    <t>Prefeito Municipal                                Secret. de Munic. da Fazenda                           Contador: CRC/RS:068452/0-6</t>
  </si>
  <si>
    <t>Giovani Amestoy da Silva                      Hioko Nakashima da Mota                                  Arlei Lopes Souza</t>
  </si>
  <si>
    <t>AMF - Demonstrativo IV (LRF, art.4º, §2º, inciso III)</t>
  </si>
  <si>
    <t>DEMONSTRATIVO CONSOLIDADO DA EVOLUÇÃO DO PATRIMONIO</t>
  </si>
  <si>
    <t>PATRIMÔNIO LÍQUIDO</t>
  </si>
  <si>
    <t>Patrimônio/Capital</t>
  </si>
  <si>
    <t>Reservas</t>
  </si>
  <si>
    <t>Resultado Acumulado</t>
  </si>
  <si>
    <t>TOTAL</t>
  </si>
  <si>
    <t>FONTE: Balancetes da Contabilidade</t>
  </si>
  <si>
    <t>PREFEITURA MUNICIPAL</t>
  </si>
  <si>
    <t>CAMARA MUNICIPAL DE VEREADORES</t>
  </si>
  <si>
    <t>REGIME PREVIDENCIÁRIO</t>
  </si>
  <si>
    <t>Patrimônio</t>
  </si>
  <si>
    <t>Lucros ou Prejuízos Acumulados</t>
  </si>
  <si>
    <t>FUNDO DE ASSISTÊNCIA A SAÚDE DO SERVIDOR MUNICIPAL - FASM</t>
  </si>
  <si>
    <t>MUNICÍPIO DE CAÇAPAVA DO SUL/RS</t>
  </si>
  <si>
    <t>AMF – Tabela 3 (LRF, art.4º, §2º, inciso II)</t>
  </si>
  <si>
    <t>VALORES A PREÇOS CORRENTES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</si>
  <si>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</si>
  <si>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</si>
  <si>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</si>
  <si>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</si>
  <si>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</si>
  <si>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</si>
  <si>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</si>
  <si>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</si>
  <si>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</si>
  <si>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</si>
  <si>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</si>
  <si>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Despesa Total</t>
  </si>
  <si>
    <t>Resultado Primário (III) = (I - II)</t>
  </si>
  <si>
    <t>Dívida Pública Consolidada</t>
  </si>
  <si>
    <t>VALORES A PREÇOS CONSTANTES</t>
  </si>
  <si>
    <t>FONTE: Demonstrativo do Resultado Primário e Nominal da LRF</t>
  </si>
  <si>
    <t>Média de Inflação do Período</t>
  </si>
  <si>
    <t>Índice para deflação:</t>
  </si>
  <si>
    <t>AMF - Tabela 9 (LRF, art. 4°, § 2°, inciso V)</t>
  </si>
  <si>
    <t>EVENTOS</t>
  </si>
  <si>
    <t xml:space="preserve">Aumento Permanente da Receita  </t>
  </si>
  <si>
    <t>(-)  Transferências Constitucionais</t>
  </si>
  <si>
    <t>(-)  Transferências ao FUNDEB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</si>
  <si>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</si>
  <si>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</si>
  <si>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</si>
  <si>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</si>
  <si>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Novas DOCC</t>
  </si>
  <si>
    <t xml:space="preserve">   Novas DOCC geradas por PPP</t>
  </si>
  <si>
    <t>Margem Líquida de Expansão de DOCC (V) = (III-IV)</t>
  </si>
  <si>
    <r>
      <t>NOTA:</t>
    </r>
    <r>
      <rPr>
        <sz val="11"/>
        <color theme="1"/>
        <rFont val="Calibri"/>
        <family val="2"/>
        <scheme val="minor"/>
      </rPr>
      <t xml:space="preserve"> O valor da linha da margem de expansão do aumento permanente da Receita é o resultado</t>
    </r>
  </si>
  <si>
    <t>ANEXO II</t>
  </si>
  <si>
    <t>DEMONSTRATIVO DOS RISCOS FISCAIS E PROVIDÊNCIAS</t>
  </si>
  <si>
    <t>ANEXO DE RISCOS FISCAIS</t>
  </si>
  <si>
    <t>DEMONSTRATIVO DE RISCOS FISCAIS E PROVIDÊNCIAS</t>
  </si>
  <si>
    <t>ARF (LRF, art 4º, § 3º)</t>
  </si>
  <si>
    <t>RISCOS FISCAIS</t>
  </si>
  <si>
    <t>PROVIDÊNCIAS</t>
  </si>
  <si>
    <t>Descrição</t>
  </si>
  <si>
    <t>Abertura de Créditos adicionais a partir do cancelamento de dotações</t>
  </si>
  <si>
    <t>Enchentes e outras situações de calamidade pública</t>
  </si>
  <si>
    <t>Reprogramação Financeira (limitação de empenho)</t>
  </si>
  <si>
    <t>Condenações Judiciais</t>
  </si>
  <si>
    <t>Novos ingressos de servidores por concursos e contratações</t>
  </si>
  <si>
    <t>FONTE:</t>
  </si>
  <si>
    <t>AMF - Tabela 8 (LRF, art. 4°, § 2°, inciso V)</t>
  </si>
  <si>
    <t>TRIBUTO</t>
  </si>
  <si>
    <t>MODALIDADE</t>
  </si>
  <si>
    <t>SETORES/ PROGRAMAS/ BENEFICIÁRIO</t>
  </si>
  <si>
    <t>RENÚNCIA DE RECEITA PREVISTA</t>
  </si>
  <si>
    <t>COMPENSAÇÃO</t>
  </si>
  <si>
    <t xml:space="preserve">          -</t>
  </si>
  <si>
    <t xml:space="preserve">NOTA: Não consta renúncia de receita, pois a mesma foi prevista sobre valores líquidos, já descontas as deduções e </t>
  </si>
  <si>
    <t>AMF - Demonstrativo V (LRF, art.4º, §2º, inciso III)</t>
  </si>
  <si>
    <t>RECEITAS REALIZADAS</t>
  </si>
  <si>
    <t>RECEITAS DE CAPITAL - ALIENAÇÃO DE ATIVOS (I)</t>
  </si>
  <si>
    <t xml:space="preserve">    Alienação de Bens Móveis</t>
  </si>
  <si>
    <t xml:space="preserve">    Alienação de Bens Imóveis</t>
  </si>
  <si>
    <t>DESPESAS EXECUTADAS</t>
  </si>
  <si>
    <t>&lt;Ano-2012&gt;                    (d)</t>
  </si>
  <si>
    <t>&lt;Ano-2011&gt;                 (e)</t>
  </si>
  <si>
    <t>&lt;Ano-2010&gt;
(f)</t>
  </si>
  <si>
    <t>APLICAÇÃO DOS RECURSOS DA ALIENAÇÃO DE ATIVOS (II)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</si>
  <si>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</si>
  <si>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</si>
  <si>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</si>
  <si>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</si>
  <si>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PREVIDÊNCIA</t>
  </si>
  <si>
    <t xml:space="preserve">        Regime Geral de Previdência Social</t>
  </si>
  <si>
    <t xml:space="preserve">        Regime Próprio de Previdência dos Servidores</t>
  </si>
  <si>
    <t>SALDO FINANCEIRO</t>
  </si>
  <si>
    <t>&lt;Ano-2&gt;
(g) = ((Ia – IId) + IIIh)</t>
  </si>
  <si>
    <t>&lt;Ano-3&gt;
 (h) = ((Ib – IIe) + IIIi)</t>
  </si>
  <si>
    <t>&lt;Ano-4&gt;
 (i) = (Ic – IIf)</t>
  </si>
  <si>
    <t>VALOR (III)</t>
  </si>
  <si>
    <t>FONTE: Balancetes e Demonstrativos da Contabilidade.</t>
  </si>
  <si>
    <r>
      <t xml:space="preserve">1. Nota Explicativa: A </t>
    </r>
    <r>
      <rPr>
        <b/>
        <sz val="8"/>
        <rFont val="Arial"/>
        <family val="2"/>
      </rPr>
      <t>Receita Primária (I)</t>
    </r>
    <r>
      <rPr>
        <sz val="8"/>
        <rFont val="Arial"/>
        <family val="2"/>
      </rPr>
      <t xml:space="preserve"> é igual a Receita Total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as Receitas </t>
    </r>
    <r>
      <rPr>
        <b/>
        <sz val="8"/>
        <rFont val="Arial"/>
        <family val="2"/>
      </rPr>
      <t>Patrimonial, de capital e IntraOrçamentárias</t>
    </r>
  </si>
  <si>
    <t>Resultado Nominal (Acima da Linha)</t>
  </si>
  <si>
    <t>da Dívida e Intraorçamentárias.</t>
  </si>
  <si>
    <t> FONTE: Demonstrativos da Execução Orçamentária da Receita e da Despesa Orçamentária.</t>
  </si>
  <si>
    <t>LDO 2022</t>
  </si>
  <si>
    <t>Dados extraídos: IPCA do IBGE/FOCUS</t>
  </si>
  <si>
    <t>as possíveis renúncias da Receita Prevista para 2022.</t>
  </si>
  <si>
    <t>EXERCÍCIO DE 2022</t>
  </si>
  <si>
    <t xml:space="preserve">2. Nota Explicativa: A Despesas Primárias (II) é igual a Despesa Total Atualizada menos as Despesas de Capital, de Juros e Encargos </t>
  </si>
  <si>
    <t>Despesas de Capital Prevista no PPA:</t>
  </si>
  <si>
    <t>FONTE: Planilhas de cálculo do PPA2022/2025 e da LDO2022</t>
  </si>
  <si>
    <t xml:space="preserve">obtido do saldo final da receita corrente primária estimada para 2022 menos a receita corrente </t>
  </si>
  <si>
    <t xml:space="preserve">primária reestimada de 2021, assim como o valor obtido da transferência ao FUNDEB. Já o valor </t>
  </si>
  <si>
    <t>das novas DOCC representa o aumento previstos nas despesas em 2022 em relação as de 2021.</t>
  </si>
  <si>
    <t>NOTA1: Conforme L. M. Nº 4167  de 04/08/2020 e  4.244  de 22/07/2021 "- Art. 4º - Aliquota do Passivo Atuarial"passará de 33,00% a ser 40,00% em 2022.</t>
  </si>
  <si>
    <t>Aumento na alíquota do FAPS/RPPS  - Passivo Atuarial de 0,50% Dez/21 e + 6,5% em 2022</t>
  </si>
  <si>
    <t>&lt;Ano-2018&gt;
(a)</t>
  </si>
  <si>
    <t>&lt;Ano-2019&gt;
(b)</t>
  </si>
  <si>
    <t xml:space="preserve">&lt;Ano-2020&gt;
(c) </t>
  </si>
  <si>
    <t>Nota : DATA BASE 2021 - 31 DE AGOSTO.</t>
  </si>
  <si>
    <t>Valor Previsto para &lt;Ano de 2022&gt;</t>
  </si>
  <si>
    <t>ACRÉSCIMO NAS PROVISÕES MATEMÁTICAS PREVIDENCIÁRIAS A LONGO PRAZO EM 2021:</t>
  </si>
  <si>
    <t>FINANCIADAS POR OPERAÇÕES DE CRÉDITO</t>
  </si>
  <si>
    <t>Art. 167, III, da Constituição Federal e Art. 12, § 2º, da LRF</t>
  </si>
  <si>
    <t>MUNICÍPIO DE CAÇAPAVA DO SUL/RS.</t>
  </si>
  <si>
    <t>R E C E I T A S</t>
  </si>
  <si>
    <t>Especificação</t>
  </si>
  <si>
    <t>D E S P E S A S</t>
  </si>
  <si>
    <t>Proj/ Atividade:</t>
  </si>
  <si>
    <t>Elemento:</t>
  </si>
  <si>
    <t>TOTAL:</t>
  </si>
  <si>
    <t>4.4.90.52</t>
  </si>
  <si>
    <t xml:space="preserve">Programas de Modernização da Administração Pública </t>
  </si>
  <si>
    <t>Operações de Crédito Internas com  AQUISIÇÕES</t>
  </si>
  <si>
    <t>DE MÁQUINAS E EQUIPAMENTOS</t>
  </si>
  <si>
    <t>V - ORIGEM E APLICAÇÃO DOS RECURSOS OBTIDOS COM A ALIENAÇÃO DE ATIVOS</t>
  </si>
  <si>
    <t xml:space="preserve">II - AVALIAÇÃO DO CUMPRIMENTO DAS METAS FISCAIS   DO EXERCÍCIO ANTERIOR                            </t>
  </si>
  <si>
    <t>III - METAS FISCAIS ATUAIS COMPARADAS COM AS FIXADAS NOS TRÊS EXERCÍCIOS ANTERIORES</t>
  </si>
  <si>
    <t>IV -  EVOLUÇÃO DO PATRIMÔNIO LÍQUIDO</t>
  </si>
  <si>
    <t>VI - ESTIMATIVA E COMPENSAÇÃO DA RENÚNCIA DE RECEITA</t>
  </si>
  <si>
    <t>LEI DE DIRETRIZES ORÇAMENTÁRIAS PARA O EXERCÍCIO DE 2.022</t>
  </si>
  <si>
    <t>LEI DE DIRETRIZES ORÇAMENTÁRIAS PARA O  EXERCÍCIO 2.022</t>
  </si>
  <si>
    <t>LEI DE DIRETRIZES ORÇAMENTÁRIAS  PARA O  EXERCÍCIO 2.022</t>
  </si>
  <si>
    <t>LEI ORÇAMENTÁRIA ANUAL PARA O EXERCÍCIO DE 2.022</t>
  </si>
  <si>
    <t>Município de Cacapava do Sul - RS</t>
  </si>
  <si>
    <t>AMF - Demonstrativo 6 (LRF,art.4º,§2º, inciso IV, alínea "a")</t>
  </si>
  <si>
    <t>R$ 1,00</t>
  </si>
  <si>
    <t>RECEITAS E DESPESAS PREVIDENCIÁRIOS DO REGIME PRÓPRIO DE PREVIDÊNCIA DOS SERVIDORES</t>
  </si>
  <si>
    <t>PLANO PREVIDENCIÁRIO</t>
  </si>
  <si>
    <t>RECEITAS PREVIDENCIÁRIAS - RPPS</t>
  </si>
  <si>
    <t>2018</t>
  </si>
  <si>
    <t>2019</t>
  </si>
  <si>
    <t>2020</t>
  </si>
  <si>
    <t>RECEITAS CORRENTES (I)</t>
  </si>
  <si>
    <t>16.230.857,30</t>
  </si>
  <si>
    <t>19.821.452,71</t>
  </si>
  <si>
    <t>19.917.734,18</t>
  </si>
  <si>
    <t>Receita de Contribuições dos Segurados</t>
  </si>
  <si>
    <t>3.491.106,05</t>
  </si>
  <si>
    <t>3.595.472,77</t>
  </si>
  <si>
    <t>3.990.302,93</t>
  </si>
  <si>
    <t>Civil</t>
  </si>
  <si>
    <t>Ativo</t>
  </si>
  <si>
    <t>3.476.382,05</t>
  </si>
  <si>
    <t>3.578.318,42</t>
  </si>
  <si>
    <t>3.790.215,15</t>
  </si>
  <si>
    <t>Inativo</t>
  </si>
  <si>
    <t>10.435,20</t>
  </si>
  <si>
    <t>11.664,97</t>
  </si>
  <si>
    <t>185.272,45</t>
  </si>
  <si>
    <t>Pensionista</t>
  </si>
  <si>
    <t>4.288,80</t>
  </si>
  <si>
    <t>5.489,38</t>
  </si>
  <si>
    <t>14.815,33</t>
  </si>
  <si>
    <t>Receita de Contribuições Patronais</t>
  </si>
  <si>
    <t>5.697.166,30</t>
  </si>
  <si>
    <t>5.722.692,97</t>
  </si>
  <si>
    <t>4.204.358,51</t>
  </si>
  <si>
    <t>5.680.266,91</t>
  </si>
  <si>
    <t>5.698.532,67</t>
  </si>
  <si>
    <t>4.191.081,98</t>
  </si>
  <si>
    <t>11.882,63</t>
  </si>
  <si>
    <t>17.441,21</t>
  </si>
  <si>
    <t>9.187,24</t>
  </si>
  <si>
    <t>5.016,76</t>
  </si>
  <si>
    <t>6.719,09</t>
  </si>
  <si>
    <t>4.089,29</t>
  </si>
  <si>
    <t>Receita Patrimonial</t>
  </si>
  <si>
    <t>3.073.050,81</t>
  </si>
  <si>
    <t>4.607.175,11</t>
  </si>
  <si>
    <t>2.429.706,77</t>
  </si>
  <si>
    <t>Receitas Imobiliárias</t>
  </si>
  <si>
    <t>Receitas de Valores Mobiliários</t>
  </si>
  <si>
    <t>Outras Receitas Patrimoniais</t>
  </si>
  <si>
    <t>Receita de Serviços</t>
  </si>
  <si>
    <t>Outras Receitas Correntes</t>
  </si>
  <si>
    <t>3.969.534,14</t>
  </si>
  <si>
    <t>5.896.111,86</t>
  </si>
  <si>
    <t>9.293.365,97</t>
  </si>
  <si>
    <t>Compensação Previdenciária do RGPS para o RPPS</t>
  </si>
  <si>
    <t>3.564.553,49</t>
  </si>
  <si>
    <t>Aportes Periódicos para Amortização de Déficit Atuarial do RPPS (II)¹</t>
  </si>
  <si>
    <t>5.720.866,22</t>
  </si>
  <si>
    <t>Demais Receitas Correntes</t>
  </si>
  <si>
    <t>7.946,26</t>
  </si>
  <si>
    <t>RECEITAS DE CAPITAL (III)</t>
  </si>
  <si>
    <t>Alienação de Bens, Direitos e Ativos</t>
  </si>
  <si>
    <t>Amortização de Empréstimos</t>
  </si>
  <si>
    <t>Outras Receitas de Capital</t>
  </si>
  <si>
    <t>TOTAL DAS RECEITAS PREVIDENCIÁRIAS RPPS - (IV) = (I + III - II)</t>
  </si>
  <si>
    <t>12.261.323,16</t>
  </si>
  <si>
    <t>13.925.340,85</t>
  </si>
  <si>
    <t>14.196.867,96</t>
  </si>
  <si>
    <t>DESPESAS PREVIDENCIÁRIAS - RPPS</t>
  </si>
  <si>
    <t>Benefícios-Civil</t>
  </si>
  <si>
    <t>16.613.688,03</t>
  </si>
  <si>
    <t>18.979.028,19</t>
  </si>
  <si>
    <t>22.177.555,38</t>
  </si>
  <si>
    <t>Aposentadorias</t>
  </si>
  <si>
    <t>14.467.677,57</t>
  </si>
  <si>
    <t>16.595.676,81</t>
  </si>
  <si>
    <t>19.612.916,67</t>
  </si>
  <si>
    <t>Pensões</t>
  </si>
  <si>
    <t>2.145.629,94</t>
  </si>
  <si>
    <t>2.382.930,30</t>
  </si>
  <si>
    <t>2.564.249,75</t>
  </si>
  <si>
    <t>Outros Benefícios Previdenciários</t>
  </si>
  <si>
    <t>380,52</t>
  </si>
  <si>
    <t>421,08</t>
  </si>
  <si>
    <t>388,96</t>
  </si>
  <si>
    <t>0,00</t>
  </si>
  <si>
    <t>Compensação Previdenciária do RPPS para o RGPS</t>
  </si>
  <si>
    <t>Demais Despesas Previdenciárias</t>
  </si>
  <si>
    <t>TOTAL DAS DESPESAS PREVIDENCIÁRIAS RPPS (V)</t>
  </si>
  <si>
    <t>RESULTADO PREVIDENCIÁRIO (VI) = (IV - V)²</t>
  </si>
  <si>
    <t>(4.352.364,87)</t>
  </si>
  <si>
    <t>(5.053.687,34)</t>
  </si>
  <si>
    <t>(7.980.687,42)</t>
  </si>
  <si>
    <t>RECURSOS RPPS ARRECADADOS EM EXERCÍCIOS ANTERIORES</t>
  </si>
  <si>
    <t>VALOR</t>
  </si>
  <si>
    <t>RESERVA ORÇAMENTÁRIA DO RPPS</t>
  </si>
  <si>
    <t>10,00</t>
  </si>
  <si>
    <t>4.084.589,10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</si>
  <si>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</si>
  <si>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</si>
  <si>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</si>
  <si>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</si>
  <si>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</si>
  <si>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</si>
  <si>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Caixa e Equivalentes de Caixa</t>
  </si>
  <si>
    <t>359.264,73</t>
  </si>
  <si>
    <t>427.923,79</t>
  </si>
  <si>
    <t>673.235,11</t>
  </si>
  <si>
    <t>Investimentos e Aplicações</t>
  </si>
  <si>
    <t>34.964.027,23</t>
  </si>
  <si>
    <t>35.887.444,12</t>
  </si>
  <si>
    <t>33.033.586,63</t>
  </si>
  <si>
    <t>Outros Bens e Direitos</t>
  </si>
  <si>
    <t>9.226.864,02</t>
  </si>
  <si>
    <t>8.817.165,76</t>
  </si>
  <si>
    <t>17.975.899,67</t>
  </si>
  <si>
    <t>FONTE: GOVBR - Planejamento e Orçamento, SECRETARIA DE MUNICÍPIO DA FAZENDA, 20/Out/2021, 15h e 53m.</t>
  </si>
  <si>
    <t>DESPESAS DA ADMINISTRAÇÃO - RPPS</t>
  </si>
  <si>
    <t>DESPESAS DE CAPITAL (XIV)</t>
  </si>
  <si>
    <t>DESPESAS CORRENTES (XIII)</t>
  </si>
  <si>
    <t>19.559,00</t>
  </si>
  <si>
    <t>19.938,91</t>
  </si>
  <si>
    <t>8.371,90</t>
  </si>
  <si>
    <t>TOTAL DAS DESPESAS DA ADMINISTRAÇÃO RPPS (XV) = (XIII + XIV)</t>
  </si>
  <si>
    <t>RESULTADO DA ADMINISTRAÇÃO RPPS (XVI) = (XII - XV)</t>
  </si>
  <si>
    <t>(19.559,00)</t>
  </si>
  <si>
    <t>(19.938,91)</t>
  </si>
  <si>
    <t>(8.371,90)</t>
  </si>
  <si>
    <t>NOTA: 
1 Como a Portaria MPS 746/2011 determina que os recursos provenientes desses aportes devem permanecer aplicados, no mínimo, por 5 (cinco) anos, essa receita não deverá
compor o total das receitas previdenciárias do período de apuração.
2 O resultado previdenciário poderá ser apresentado por meio da diferença entre previsão da receita e a dotação da despesa e entre a receita realizada e a despesa liquidada (do
1º ao 5º bimestre) e a despesa empenhada (no 6º bimestre).</t>
  </si>
  <si>
    <t>VII - AVALIAÇÃO DA SITUAÇÃO FINANCEIRA E ATUARIAL DO RPPS</t>
  </si>
  <si>
    <t>Página: 1 de 1</t>
  </si>
  <si>
    <t>ANEXO I</t>
  </si>
  <si>
    <t>DEMONSTRATIVO – EVOLUÇÃO DO PATRIMÔNIO LÍQUIDO</t>
  </si>
  <si>
    <t>DEMONSTRATIVO DA AVALIAÇÃO DO CUMPRIMENTO DAS METAS FISCAIS DO EXERCÍCIO DE 2020</t>
  </si>
  <si>
    <t>DEMONSTRATIVO DAS METAS FISCAIS ATUAIS COMPARADAS COM AS FIXADAS NOS TRÊS EXERCÍCIOS ANTERIORES</t>
  </si>
  <si>
    <t xml:space="preserve">DEMONSTRATIVO DA ORIGEM E APLICAÇÃO DOS RECURSOS OBTIDOS COM A ALIENAÇÃO DE ATIVOS </t>
  </si>
  <si>
    <t xml:space="preserve"> DEMONSTRATIVO DA ESTIMATIVA E COMPENSAÇÃO DA RENÚNCIA DE RECEITA</t>
  </si>
  <si>
    <r>
      <rPr>
        <b/>
        <sz val="6"/>
        <color rgb="FF000000"/>
        <rFont val="Arial"/>
        <family val="2"/>
      </rPr>
      <t>ANEXO I</t>
    </r>
    <r>
      <rPr>
        <sz val="6"/>
        <color rgb="FF000000"/>
        <rFont val="Arial"/>
        <family val="2"/>
      </rPr>
      <t xml:space="preserve"> DE METAS FISCAIS</t>
    </r>
  </si>
  <si>
    <t>DEMONSTRATIVO DA MARGEM DE EXPANSÃO DAS DESPESAS OBRIGATÓRIAS DE CARÁTER CONTINUADO</t>
  </si>
  <si>
    <r>
      <t xml:space="preserve">DEMONSTRATIVO DO </t>
    </r>
    <r>
      <rPr>
        <b/>
        <sz val="16"/>
        <color theme="1"/>
        <rFont val="Calibri"/>
        <family val="2"/>
        <scheme val="minor"/>
      </rPr>
      <t xml:space="preserve">ANEXO IV </t>
    </r>
    <r>
      <rPr>
        <sz val="16"/>
        <color theme="1"/>
        <rFont val="Calibri"/>
        <family val="2"/>
        <scheme val="minor"/>
      </rPr>
      <t>DA PREVISÃO DE APLICAÇÃO DE DESPESAS A SEREM</t>
    </r>
  </si>
  <si>
    <t>2. Nota Explicativa: A Despesas Primárias (II) é igual a Despesa Total Atualizada menos as Despesas de Capital, de Juros e Encargos da Dívida e Intraorçamentárias.</t>
  </si>
  <si>
    <t>3. Nota Explicativa: Demonstrativo atualizado com a previsão de Operação de Crédito no valor de R$ 5.000.000,00 para aquisão de máquinas e equipamentos.</t>
  </si>
  <si>
    <t>Fonte de Recurso 3821 (Aquisição de Veículos máquinas</t>
  </si>
  <si>
    <t xml:space="preserve">e equipamentos) </t>
  </si>
  <si>
    <t xml:space="preserve"> Programas de Modernização da Administração Pública</t>
  </si>
  <si>
    <r>
      <rPr>
        <b/>
        <sz val="16"/>
        <color theme="1"/>
        <rFont val="Calibri"/>
        <family val="2"/>
        <scheme val="minor"/>
      </rPr>
      <t>2.1.1.8.01.5.1.01</t>
    </r>
    <r>
      <rPr>
        <sz val="16"/>
        <color theme="1"/>
        <rFont val="Calibri"/>
        <family val="2"/>
        <scheme val="minor"/>
      </rPr>
      <t xml:space="preserve"> Operações de Crédito Internas para</t>
    </r>
  </si>
  <si>
    <t>Prefeitura Municipal de Cacapava do Sul - RS</t>
  </si>
  <si>
    <t>Plano Plurianual</t>
  </si>
  <si>
    <t>INSTRUÇÃO NORMATIVA nº 4/2021 - TCE/RS.</t>
  </si>
  <si>
    <t>Fontes de Financiamento dos Programas Governamentais</t>
  </si>
  <si>
    <t>Dados Enviados ao Legislativo</t>
  </si>
  <si>
    <t>Estimativa das Receitas Orçamentárias</t>
  </si>
  <si>
    <t>Tipo: Projeto de Lei</t>
  </si>
  <si>
    <t>Situação: Em Elaboração</t>
  </si>
  <si>
    <t>Unidade Gestora: CONSOLIDADO</t>
  </si>
  <si>
    <t>1.0.0.0.00.0.0.00</t>
  </si>
  <si>
    <t>Receitas Correntes</t>
  </si>
  <si>
    <t>Total das Deduções</t>
  </si>
  <si>
    <t>1.2.1.8.01.1.1.00</t>
  </si>
  <si>
    <t>CPSSS do Servidor Civil Ativo - Principal</t>
  </si>
  <si>
    <t>1.2.1.8.01.2.1.00</t>
  </si>
  <si>
    <t>CPSSS do Servidor Civil Inativo - Principal</t>
  </si>
  <si>
    <t>1.2.1.8.01.3.1.00</t>
  </si>
  <si>
    <t>CPSSS do Servidor Civil - Pensionistas - Principal</t>
  </si>
  <si>
    <t>1.2.1.8.03.1.1.00</t>
  </si>
  <si>
    <t>CPSSS Patronal - Servidor Civil Ativo - Principal</t>
  </si>
  <si>
    <t>1.2.1.9.99.1.1.03</t>
  </si>
  <si>
    <t>Contribuições do Servidor Ativo para Assistência a Saúde</t>
  </si>
  <si>
    <t>1.2.1.9.99.1.1.04</t>
  </si>
  <si>
    <t xml:space="preserve">Contribuição dos Inativos e Pensionistas para Assistência a </t>
  </si>
  <si>
    <t>1.3.2.1.00.1.1.01.10</t>
  </si>
  <si>
    <t>Remu. Depósi. Ban. Vin. Fundo Assis. Saúde Ser. - Principal</t>
  </si>
  <si>
    <t>1.3.2.1.00.4.1.00</t>
  </si>
  <si>
    <t>Remuneração dos Recursos do RPPS - Principal</t>
  </si>
  <si>
    <t>1.9.9.0.03.1.1.00</t>
  </si>
  <si>
    <t>Compensações Financeiras entre o RGPS e os RPPS - Principal</t>
  </si>
  <si>
    <t>1.9.9.0.99.1.1.03</t>
  </si>
  <si>
    <t>Receitas Dire. Arreca. Fundo Assis. Saúde Servi.- Principal</t>
  </si>
  <si>
    <t>1.7.1.8.01.2.1.04</t>
  </si>
  <si>
    <t>Cota-Parte do FPM - Cota Mensal - Principal - FUNDEB</t>
  </si>
  <si>
    <t>1.7.1.8.01.5.1.04</t>
  </si>
  <si>
    <t>Cota-Parte do ITR - Principal - FUNDEB</t>
  </si>
  <si>
    <t>1.7.2.8.01.1.1.04</t>
  </si>
  <si>
    <t>Cota-Parte do ICMS - Principal - FUNDEB</t>
  </si>
  <si>
    <t>1.7.2.8.01.2.1.04</t>
  </si>
  <si>
    <t>Cota-Parte do IPVA - Principal - FUNDEB</t>
  </si>
  <si>
    <t>1.7.2.8.01.3.1.04</t>
  </si>
  <si>
    <t>Cota-Parte do IPI - Municípios - Principal - FUNDEB</t>
  </si>
  <si>
    <t>RECEITA CORRENTRE LÍQUIDA</t>
  </si>
  <si>
    <t>Nota: foi retificado a RCL projetada para o PPA devida a INSTRUÇÃO NORMATIVA nº 4/2021 - TCE/RS.</t>
  </si>
  <si>
    <t>1.1.1.3.03.1.1.01</t>
  </si>
  <si>
    <t>IRRF - Ativos/Inativos do Poder Execu./Indire.</t>
  </si>
  <si>
    <t>1.1.1.3.03.1.1.02</t>
  </si>
  <si>
    <t>IRRF - Ativos/Inativos do Poder Legislativo</t>
  </si>
  <si>
    <t xml:space="preserve"> Estimativa da Receita Corrente Líquida</t>
  </si>
  <si>
    <t>Fundamento Legal: LDO 2022</t>
  </si>
  <si>
    <t>PROJEÇÃO DA RECEITA CORRENTE LÍQUIDA P/ LDO-2022:</t>
  </si>
  <si>
    <t>para apuração da RCL, conforme INSTRUÇÃO NORMATIVA nº 4/2021 - TCE/RS.</t>
  </si>
  <si>
    <t xml:space="preserve">      As Deduções referentes aos IRRF do Executivo e Legislativo na Consta mais nas deduções </t>
  </si>
  <si>
    <t>Reserva de Contigência da Prefeitura: Percentual sobre a RCL Prevista:</t>
  </si>
  <si>
    <t>MEMÓRIA E METODOLOGIA DE CÁLCULO:</t>
  </si>
  <si>
    <t>RECEITAS INCIDENTES PARA CÁLCULO DO ORÇAMENTO DA CÂMARA DE VEREADORES MUNICIPAL</t>
  </si>
  <si>
    <t>Período análisado:</t>
  </si>
  <si>
    <t>Níveis:</t>
  </si>
  <si>
    <t>Exercícios:</t>
  </si>
  <si>
    <t>Realizado</t>
  </si>
  <si>
    <t>1100.00.00</t>
  </si>
  <si>
    <t>RECEITA TRIBUTÁRIA</t>
  </si>
  <si>
    <t>1.2.1.8.01.1.0</t>
  </si>
  <si>
    <t>Contribuição do Servidor Ativo</t>
  </si>
  <si>
    <t>1.2.1.0.04.2.2</t>
  </si>
  <si>
    <t>Multa e J. de Mora da Contrib Serv.</t>
  </si>
  <si>
    <t>1.2.1.0.04.2.3</t>
  </si>
  <si>
    <t>Dívida Ativa da Contrib Serv.</t>
  </si>
  <si>
    <t>1.2.1.0.04.2.4</t>
  </si>
  <si>
    <t>Multa J. daDív Ativ. Contrib Serv.</t>
  </si>
  <si>
    <t>1.2.4.0.00.1.1.</t>
  </si>
  <si>
    <t>Contrib. Custeio do Serv Ilum. Púb.</t>
  </si>
  <si>
    <t>1.7.1.8.01.2.1</t>
  </si>
  <si>
    <t>Transf. União - Cota-parte do FPM</t>
  </si>
  <si>
    <t>1721.01.02.05</t>
  </si>
  <si>
    <t>( - ) Redutor do FPM p/ FUNDEB</t>
  </si>
  <si>
    <t>1.7.1.8.01.5.1</t>
  </si>
  <si>
    <t>Transf. União - Cota-parte do ITR</t>
  </si>
  <si>
    <t>1721.01.05.04</t>
  </si>
  <si>
    <t>( - ) Redutor do ITR p/ FUNDEB</t>
  </si>
  <si>
    <t>1721.36</t>
  </si>
  <si>
    <t>Transf Financ. ICMS Desoneração</t>
  </si>
  <si>
    <t>1721.36.05</t>
  </si>
  <si>
    <t>( - ) Redutor do ICMS p/ FUNDEB</t>
  </si>
  <si>
    <t>1722.01.01</t>
  </si>
  <si>
    <t xml:space="preserve">Transf Financ Cota-parte do ICMS </t>
  </si>
  <si>
    <t>1722.01.01.05</t>
  </si>
  <si>
    <t>1722.01.02</t>
  </si>
  <si>
    <t>COTA-PARTE DO IPVA</t>
  </si>
  <si>
    <t>1722.01.02.04</t>
  </si>
  <si>
    <t>1722.01.04</t>
  </si>
  <si>
    <t>COTA-PARTE DO IPI</t>
  </si>
  <si>
    <t>1722.01.04.05</t>
  </si>
  <si>
    <t>1.7.2.8.01.4.1.00</t>
  </si>
  <si>
    <t>Cota Parte da  CIDE / Combustíveis</t>
  </si>
  <si>
    <t>Totais:</t>
  </si>
  <si>
    <t>Fonte: Valores projetados com IPCA projetado pela INPCFOCUS - Relatório de Mercado e Nota Técnica DEA 08/16</t>
  </si>
  <si>
    <t>CF/88 com as alterações promovidas pela EC n° 58/2009, o art. 29-A </t>
  </si>
  <si>
    <t>I - 7% (sete por cento) para Municípios com população de até 100.000 (cem mil) habitantes;</t>
  </si>
  <si>
    <t>Duodêcimo</t>
  </si>
  <si>
    <t>Giovani Amestoy da Silva</t>
  </si>
  <si>
    <t>Ihoko Nakashima Mota</t>
  </si>
  <si>
    <t>Arlei Lopes Souza</t>
  </si>
  <si>
    <t>Prefeito Municipal</t>
  </si>
  <si>
    <t>Secret. de Município da Fazenda</t>
  </si>
  <si>
    <t>Contador - CRC/RS: 068452/O-6</t>
  </si>
  <si>
    <t xml:space="preserve">      PEC dos Vereadores, proposta de emenda à constituição 336/09 = Arrecadação de R$ 30 a R$ 70 milhões gastos de</t>
  </si>
  <si>
    <t>até 3,75%; de 30 a 50 mil habitantes - Câmara Legislativa com 13 Vereadores.</t>
  </si>
  <si>
    <t>Estimativa de Valores Máximos Disponíveis para as Diretrizes, Objetivos e Metas do  Poder Legislativo</t>
  </si>
  <si>
    <t>ESTUDOS E ESTIMATIVAS LDO 2022</t>
  </si>
  <si>
    <t>Indice de apropriação do valor do Duodécimo:</t>
  </si>
  <si>
    <t>Valor máximo Projetado para 2.022</t>
  </si>
  <si>
    <r>
      <rPr>
        <b/>
        <sz val="8"/>
        <rFont val="Arial"/>
        <family val="2"/>
      </rPr>
      <t>Nota Explicativa:</t>
    </r>
    <r>
      <rPr>
        <sz val="8"/>
        <rFont val="Arial"/>
        <family val="2"/>
      </rPr>
      <t xml:space="preserve"> valor orçado para o Legislativo Municipal para o exercício de 2.022 foi apurado na forma da "Nota Conjunta </t>
    </r>
  </si>
  <si>
    <t>sobre o Projeto de Lei de Diretrizes Orçamentária para o ano de 2022 "do Estado Rio Grande do Sul" em anexo.</t>
  </si>
  <si>
    <t>Metodologia de Cálculo:</t>
  </si>
  <si>
    <t>RELAÇÃO DE CONVÊNIOS  / OBRAS:</t>
  </si>
  <si>
    <t>Emp.: SIM - Situação: Publicado  - NÚMERO DA/O:</t>
  </si>
  <si>
    <t>Valor de/a:</t>
  </si>
  <si>
    <t>Datas:</t>
  </si>
  <si>
    <t>Convênio:</t>
  </si>
  <si>
    <t>Proposta</t>
  </si>
  <si>
    <t>Processo</t>
  </si>
  <si>
    <t>CEF 0604-1</t>
  </si>
  <si>
    <t>Repasse:</t>
  </si>
  <si>
    <t>Contrapartida</t>
  </si>
  <si>
    <t>Valor Global:</t>
  </si>
  <si>
    <t>Objetivo:</t>
  </si>
  <si>
    <t>Assinatura</t>
  </si>
  <si>
    <t>Publicação</t>
  </si>
  <si>
    <t>Início:</t>
  </si>
  <si>
    <t>Término:</t>
  </si>
  <si>
    <t>F. Prestação</t>
  </si>
  <si>
    <t>V. Liberado</t>
  </si>
  <si>
    <t>906036/2020</t>
  </si>
  <si>
    <t>024409/2020</t>
  </si>
  <si>
    <t>59000.028612/2020-61</t>
  </si>
  <si>
    <t>0060710167</t>
  </si>
  <si>
    <t>Aquisição de Caminhão truck</t>
  </si>
  <si>
    <t>Caçamba metálica basculante</t>
  </si>
  <si>
    <t>819954/2015</t>
  </si>
  <si>
    <t>048495/2013</t>
  </si>
  <si>
    <t>Pav. Rua Silva Jardim</t>
  </si>
  <si>
    <t>843843/2017</t>
  </si>
  <si>
    <t>029516/2017</t>
  </si>
  <si>
    <t>02516/2017</t>
  </si>
  <si>
    <t>0066470958</t>
  </si>
  <si>
    <t>Reforma e Recup. da Estrutura</t>
  </si>
  <si>
    <t>SMPMA</t>
  </si>
  <si>
    <t>Acréscimo</t>
  </si>
  <si>
    <t>física do Ginásio Poliesportivo</t>
  </si>
  <si>
    <t>Ver. José Antônio Chaves Dias</t>
  </si>
  <si>
    <t>847883/2017</t>
  </si>
  <si>
    <t>020474/2017</t>
  </si>
  <si>
    <t>0066470982</t>
  </si>
  <si>
    <t>Pav. Na ligação do Bairro Sul e Promorar</t>
  </si>
  <si>
    <t>Alterado Objetivo F. R.: 3831</t>
  </si>
  <si>
    <t>Pav. Rua Ver. Luiz Coelho Leal</t>
  </si>
  <si>
    <t>857543/2017</t>
  </si>
  <si>
    <t>093400/2017</t>
  </si>
  <si>
    <t>25100.017649/2017-19</t>
  </si>
  <si>
    <t>0670-X 240079</t>
  </si>
  <si>
    <t>Implantação de Melhorias Sanitárias</t>
  </si>
  <si>
    <t>865739/2018</t>
  </si>
  <si>
    <t>035979/2018</t>
  </si>
  <si>
    <t>35979/2018</t>
  </si>
  <si>
    <t>0066471059</t>
  </si>
  <si>
    <t>Pav. Rua Tiradentes</t>
  </si>
  <si>
    <t>866748/2018</t>
  </si>
  <si>
    <t>036099/2018</t>
  </si>
  <si>
    <t>36099/2018</t>
  </si>
  <si>
    <t>0066471067</t>
  </si>
  <si>
    <t>Pav. Rua Xirú Meireles</t>
  </si>
  <si>
    <t>882502/2019</t>
  </si>
  <si>
    <t>000023/2019</t>
  </si>
  <si>
    <t>59000.000049/2019-23</t>
  </si>
  <si>
    <t>0060710116</t>
  </si>
  <si>
    <t>Aquisição de máquinas p/ recuperação de vias e estradas vicinais</t>
  </si>
  <si>
    <t>884657/2019</t>
  </si>
  <si>
    <t>849/2019 Pav. Dom Pedro II - Fase I</t>
  </si>
  <si>
    <t>0066471148</t>
  </si>
  <si>
    <t>Pav de via urbana, passeio e drenagem</t>
  </si>
  <si>
    <t>889954/2019</t>
  </si>
  <si>
    <t>033375/2019</t>
  </si>
  <si>
    <t>21000.087336/2019-67</t>
  </si>
  <si>
    <t>0060710132</t>
  </si>
  <si>
    <t>Aquis. Equip. p/ Patrulha Agrícola</t>
  </si>
  <si>
    <t>899364/2020</t>
  </si>
  <si>
    <t>000331/2020</t>
  </si>
  <si>
    <t>000331/2020 SUSPENSO</t>
  </si>
  <si>
    <t>0066471180</t>
  </si>
  <si>
    <t>Reforma na infraestrut da EMEF Dagoberto Barcellos</t>
  </si>
  <si>
    <t>899815/2020</t>
  </si>
  <si>
    <t>000328/2020</t>
  </si>
  <si>
    <t>328/2020 Fase II - SUSPENSO</t>
  </si>
  <si>
    <t>0066471172</t>
  </si>
  <si>
    <t>Pav. Dom Pedro II e Xiru - Fase II</t>
  </si>
  <si>
    <t>3081/2020E</t>
  </si>
  <si>
    <t>Recup., manut de estradas vicinais e dessassoreamento de rios e riachos</t>
  </si>
  <si>
    <t>914189/2021</t>
  </si>
  <si>
    <t>Fonte: Mem. Nº 293/2021 - SMPMA</t>
  </si>
  <si>
    <t>Pav. Rua Arnaldo Luiz Valli</t>
  </si>
  <si>
    <t>no Convênio.</t>
  </si>
  <si>
    <t>Transferências Especiais</t>
  </si>
  <si>
    <t>Pav. João Batista Poglia</t>
  </si>
  <si>
    <t>Emendas Individuais</t>
  </si>
  <si>
    <t>006.00672007-5</t>
  </si>
  <si>
    <t>Instalação de Drenagem Pluvial à Av. Castelo branco</t>
  </si>
  <si>
    <t>914293/2021</t>
  </si>
  <si>
    <t>Pav. Rua Baltazar de Bem</t>
  </si>
  <si>
    <t>Recursos Próprios</t>
  </si>
  <si>
    <t>Rua José F. Campos</t>
  </si>
  <si>
    <t>ID 3179108 - FNDE</t>
  </si>
  <si>
    <t>Reforma Quadra Poliesportiva EMEF Augusto Vitor Costa</t>
  </si>
  <si>
    <t>Construção de Garagem Transporte Escolar</t>
  </si>
  <si>
    <t>Reforma EMEI Inocência Prates</t>
  </si>
  <si>
    <t>Reforma do Prédio da Prefeitura</t>
  </si>
  <si>
    <t>Reforma do Prédio da SECULTUR</t>
  </si>
  <si>
    <t>Reforma do abrigo Bem-me-quer</t>
  </si>
  <si>
    <t>" ... O valor das dotações de 30/04/2021 ... Acrescido do índice</t>
  </si>
  <si>
    <t xml:space="preserve"> nominal de 3,75%, correspondente ao centro da meta de inflação para 2021 fixada pelo Conselho Monetário Nacional;"</t>
  </si>
  <si>
    <t>Valor  do Total Creditos Orçamentários:</t>
  </si>
  <si>
    <t>Valor em 30/04/2021</t>
  </si>
  <si>
    <t>Índice Nominal</t>
  </si>
  <si>
    <t>Valor Orçado para 2022</t>
  </si>
  <si>
    <t xml:space="preserve">VIII - MARGEM DE EXPANSÃO DAS DESPESAS OBRIGATÓRIAS DE CARÁTER CONTINUADO  </t>
  </si>
  <si>
    <t>Lei de Diretrizes Orçamentárias</t>
  </si>
  <si>
    <t>Anexo I - Estimativa das receitas</t>
  </si>
  <si>
    <t>Situação: Em Elaboração       Fundamento Legal: 2022       Data: 27/05/2021     Tipo: Projeto de Lei</t>
  </si>
  <si>
    <t>Receitas Previstas</t>
  </si>
  <si>
    <t>2022</t>
  </si>
  <si>
    <t>Total</t>
  </si>
  <si>
    <t>Direta</t>
  </si>
  <si>
    <t>Indireta</t>
  </si>
  <si>
    <t>1.0.0.0.00.0.0.00.00.00</t>
  </si>
  <si>
    <t>1.1.0.0.00.0.0.00.00.00</t>
  </si>
  <si>
    <t>Impostos, Taxas e Contribuições de Melhoria</t>
  </si>
  <si>
    <t>1.1.1.0.00.0.0.00.00.00</t>
  </si>
  <si>
    <t>Impostos</t>
  </si>
  <si>
    <t>1.1.1.3.00.0.0.00.00.00</t>
  </si>
  <si>
    <t>Impostos sobre a Renda e Proventos de Qualquer Natureza</t>
  </si>
  <si>
    <t>1.1.1.3.03.0.0.00.00.00</t>
  </si>
  <si>
    <t>Imposto sobre a Renda - Retido na Fonte</t>
  </si>
  <si>
    <t>1.1.1.3.03.1.0.00.00.00</t>
  </si>
  <si>
    <t>Imposto sobre a Renda - Retido na Fonte - Trabalho</t>
  </si>
  <si>
    <t>1.1.1.3.03.1.1.00.00.00</t>
  </si>
  <si>
    <t>IRRF - Trabalho - Principal</t>
  </si>
  <si>
    <t>1.1.1.3.03.1.1.01.00.00</t>
  </si>
  <si>
    <t>1.1.1.3.03.1.1.01.01.00</t>
  </si>
  <si>
    <t>IRRF  - PRÓPRIO</t>
  </si>
  <si>
    <t>1.1.1.3.03.1.1.01.02.00</t>
  </si>
  <si>
    <t>IRRF -  MDE</t>
  </si>
  <si>
    <t>1.1.1.3.03.1.1.01.03.00</t>
  </si>
  <si>
    <t>IRRF - Principal - ASPS</t>
  </si>
  <si>
    <t>1.1.1.3.03.1.1.02.00.00</t>
  </si>
  <si>
    <t>1.1.1.3.03.1.1.02.01.00</t>
  </si>
  <si>
    <t>1.1.1.3.03.1.1.02.02.00</t>
  </si>
  <si>
    <t>1.1.1.3.03.1.1.02.03.00</t>
  </si>
  <si>
    <t>1.1.1.3.03.1.1.03.00.00</t>
  </si>
  <si>
    <t>IRRF - Inativos pagos pelo RPPS - Principal</t>
  </si>
  <si>
    <t>1.1.1.3.03.1.1.03.01.00</t>
  </si>
  <si>
    <t>1.1.1.3.03.1.1.03.02.00</t>
  </si>
  <si>
    <t>1.1.1.3.03.1.1.03.03.00</t>
  </si>
  <si>
    <t>1.1.1.3.03.1.1.05.00.00</t>
  </si>
  <si>
    <t>IRRF - Pensionistas pagos pelo RPPS</t>
  </si>
  <si>
    <t>1.1.1.3.03.1.1.05.01.00</t>
  </si>
  <si>
    <t>1.1.1.3.03.1.1.05.02.00</t>
  </si>
  <si>
    <t>1.1.1.3.03.1.1.05.03.00</t>
  </si>
  <si>
    <t>1.1.1.3.03.4.0.00.00.00</t>
  </si>
  <si>
    <t>Imposto sobre a Renda - Retido na Fonte - Outros Rendimentos</t>
  </si>
  <si>
    <t>1.1.1.3.03.4.1.00.00.00</t>
  </si>
  <si>
    <t>IRRF - Outros Rendimentos - Principal</t>
  </si>
  <si>
    <t>1.1.1.3.03.4.1.01.00.00</t>
  </si>
  <si>
    <t>IRRF - Outros Rendimentos - Poder Executivo</t>
  </si>
  <si>
    <t>1.1.1.3.03.4.1.01.01.00</t>
  </si>
  <si>
    <t>IRRF -  Principal - PRÓPRIO</t>
  </si>
  <si>
    <t>1.1.1.3.03.4.1.01.02.00</t>
  </si>
  <si>
    <t>IRRF - Principal - MDE</t>
  </si>
  <si>
    <t>1.1.1.3.03.4.1.01.03.00</t>
  </si>
  <si>
    <t>1.1.1.3.03.4.1.02.00.00</t>
  </si>
  <si>
    <t>IRRF - Outros Rendimentos - Poder Legislativo</t>
  </si>
  <si>
    <t>1.1.1.3.03.4.1.02.01.00</t>
  </si>
  <si>
    <t>IRRF - Principal - PRÓPRIO</t>
  </si>
  <si>
    <t>1.1.1.3.03.4.1.02.02.00</t>
  </si>
  <si>
    <t>1.1.1.3.03.4.1.02.03.00</t>
  </si>
  <si>
    <t>1.1.1.8.00.0.0.00.00.00</t>
  </si>
  <si>
    <t>Impostos Específicos de Estados, DF e Municípios</t>
  </si>
  <si>
    <t>1.1.1.8.01.0.0.00.00.00</t>
  </si>
  <si>
    <t>Impostos sobre o Patrimônio para Estados, DF e Municípios</t>
  </si>
  <si>
    <t>1.1.1.8.01.1.0.00.00.00</t>
  </si>
  <si>
    <t>Imposto sobre a Propriedade Predial e Territorial Urbana</t>
  </si>
  <si>
    <t>1.1.1.8.01.1.1.00.00.00</t>
  </si>
  <si>
    <t>IPTU - Principal</t>
  </si>
  <si>
    <t>1.1.1.8.01.1.1.01.00.00</t>
  </si>
  <si>
    <t>IPTU - PRÓPRIO</t>
  </si>
  <si>
    <t>1.1.1.8.01.1.1.02.00.00</t>
  </si>
  <si>
    <t>IPTU - MDE</t>
  </si>
  <si>
    <t>1.1.1.8.01.1.1.03.00.00</t>
  </si>
  <si>
    <t>IPTU - ASPS</t>
  </si>
  <si>
    <t>1.1.1.8.01.1.2.00.00.00</t>
  </si>
  <si>
    <t>IPTU - Multas e Juros de Mora</t>
  </si>
  <si>
    <t>1.1.1.8.01.1.2.01.00.00</t>
  </si>
  <si>
    <t>1.1.1.8.01.1.2.02.00.00</t>
  </si>
  <si>
    <t>1.1.1.8.01.1.2.03.00.00</t>
  </si>
  <si>
    <t>1.1.1.8.01.1.3.00.00.00</t>
  </si>
  <si>
    <t>IPTU - Dívida Ativa</t>
  </si>
  <si>
    <t>1.1.1.8.01.1.3.01.00.00</t>
  </si>
  <si>
    <t>1.1.1.8.01.1.3.02.00.00</t>
  </si>
  <si>
    <t>1.1.1.8.01.1.3.03.00.00</t>
  </si>
  <si>
    <t>1.1.1.8.01.1.4.00.00.00</t>
  </si>
  <si>
    <t>IPTU - Multas e Juros de Mora da Dívida Ativa</t>
  </si>
  <si>
    <t>1.1.1.8.01.1.4.01.00.00</t>
  </si>
  <si>
    <t>1.1.1.8.01.1.4.02.00.00</t>
  </si>
  <si>
    <t>1.1.1.8.01.1.4.03.00.00</t>
  </si>
  <si>
    <t>1.1.1.8.01.4.0.00.00.00</t>
  </si>
  <si>
    <t>Imp s/ Transm “Inter Vivos” Bens Imóveis e Dir Reais s/ Imóv</t>
  </si>
  <si>
    <t>1.1.1.8.01.4.1.00.00.00</t>
  </si>
  <si>
    <t>ITBI - Principal</t>
  </si>
  <si>
    <t>1.1.1.8.01.4.1.01.00.00</t>
  </si>
  <si>
    <t>ITBI - PRÓPRIO</t>
  </si>
  <si>
    <t>1.1.1.8.01.4.1.02.00.00</t>
  </si>
  <si>
    <t>ITBI - MDE</t>
  </si>
  <si>
    <t>1.1.1.8.01.4.1.03.00.00</t>
  </si>
  <si>
    <t>ITBI - ASPS</t>
  </si>
  <si>
    <t>1.1.1.8.01.4.2.00.00.00</t>
  </si>
  <si>
    <t>ITBI - Multas e Juros de Mora</t>
  </si>
  <si>
    <t>1.1.1.8.01.4.2.01.00.00</t>
  </si>
  <si>
    <t>1.1.1.8.01.4.2.02.00.00</t>
  </si>
  <si>
    <t>1.1.1.8.01.4.2.03.00.00</t>
  </si>
  <si>
    <t>1.1.1.8.01.4.3.00.00.00</t>
  </si>
  <si>
    <t>ITBI - Dívida Ativa</t>
  </si>
  <si>
    <t>1.1.1.8.01.4.3.01.00.00</t>
  </si>
  <si>
    <t>1.1.1.8.01.4.3.02.00.00</t>
  </si>
  <si>
    <t>1.1.1.8.01.4.3.03.00.00</t>
  </si>
  <si>
    <t>1.1.1.8.01.4.4.00.00.00</t>
  </si>
  <si>
    <t>ITBI - Multas e Juros de Mora da Dívida Ativa</t>
  </si>
  <si>
    <t>1.1.1.8.01.4.4.01.00.00</t>
  </si>
  <si>
    <t>1.1.1.8.01.4.4.02.00.00</t>
  </si>
  <si>
    <t>1.1.1.8.01.4.4.03.00.00</t>
  </si>
  <si>
    <t>1.1.1.8.02.0.0.00.00.00</t>
  </si>
  <si>
    <t>Impostos sobre a Produção, Circulação de Mercadorias e Serv</t>
  </si>
  <si>
    <t>1.1.1.8.02.3.0.00.00.00</t>
  </si>
  <si>
    <t>Imposto sobre Serviços de Qualquer Natureza</t>
  </si>
  <si>
    <t>1.1.1.8.02.3.1.00.00.00</t>
  </si>
  <si>
    <t>ISSQN - Principal</t>
  </si>
  <si>
    <t>1.1.1.8.02.3.1.01.00.00</t>
  </si>
  <si>
    <t>ISS - PRÓPRIO</t>
  </si>
  <si>
    <t>1.1.1.8.02.3.1.02.00.00</t>
  </si>
  <si>
    <t>ISS - MDE</t>
  </si>
  <si>
    <t>1.1.1.8.02.3.1.03.00.00</t>
  </si>
  <si>
    <t>ISS - ASPS</t>
  </si>
  <si>
    <t>1.1.1.8.02.3.2.00.00.00</t>
  </si>
  <si>
    <t>ISSQN - Multas e Juros de Mora</t>
  </si>
  <si>
    <t>1.1.1.8.02.3.2.01.00.00</t>
  </si>
  <si>
    <t>1.1.1.8.02.3.2.02.00.00</t>
  </si>
  <si>
    <t>1.1.1.8.02.3.2.03.00.00</t>
  </si>
  <si>
    <t>1.1.1.8.02.3.3.00.00.00</t>
  </si>
  <si>
    <t>ISSQN - Dívida Ativa</t>
  </si>
  <si>
    <t>1.1.1.8.02.3.3.01.00.00</t>
  </si>
  <si>
    <t>1.1.1.8.02.3.3.02.00.00</t>
  </si>
  <si>
    <t>1.1.1.8.02.3.3.03.00.00</t>
  </si>
  <si>
    <t>1.1.1.8.02.3.4.00.00.00</t>
  </si>
  <si>
    <t>ISSQN - Multas e Juros de Mora da Dívida Ativa</t>
  </si>
  <si>
    <t>1.1.1.8.02.3.4.01.00.00</t>
  </si>
  <si>
    <t>1.1.1.8.02.3.4.02.00.00</t>
  </si>
  <si>
    <t>1.1.1.8.02.3.4.03.00.00</t>
  </si>
  <si>
    <t>1.1.2.0.00.0.0.00.00.00</t>
  </si>
  <si>
    <t>Taxas</t>
  </si>
  <si>
    <t>1.1.2.8.00.0.0.00.00.00</t>
  </si>
  <si>
    <t>Taxas - Específicas de Estados, DF e Municípios</t>
  </si>
  <si>
    <t>1.1.2.8.01.0.0.00.00.00</t>
  </si>
  <si>
    <t>Taxas de Inspeção, Controle e Fiscalização</t>
  </si>
  <si>
    <t>1.1.2.8.01.1.0.00.00.00</t>
  </si>
  <si>
    <t>Taxa de Fiscalização de Vigilância Sanitária</t>
  </si>
  <si>
    <t>1.1.2.8.01.1.1.00.00.00</t>
  </si>
  <si>
    <t>Taxa de Fiscalização de Vigilância Sanitária - Principal</t>
  </si>
  <si>
    <t>1.1.2.8.01.1.1.01.00.00</t>
  </si>
  <si>
    <t>Taxa de Fiscalização Sanitária</t>
  </si>
  <si>
    <t>1.1.2.8.01.1.1.02.00.00</t>
  </si>
  <si>
    <t>Taxas de Licença Veículos - Transporte de Alimentação</t>
  </si>
  <si>
    <t>1.1.2.8.01.1.2.00.00.00</t>
  </si>
  <si>
    <t>Taxa de Fiscalização de Vigilância Sanitária - Multas/Juros</t>
  </si>
  <si>
    <t>1.1.2.8.01.1.2.01.00.00</t>
  </si>
  <si>
    <t>1.1.2.8.01.1.2.06.00.00</t>
  </si>
  <si>
    <t>Taxa de Licença p/ Execução de Obras</t>
  </si>
  <si>
    <t>1.1.2.8.01.1.2.08.00.00</t>
  </si>
  <si>
    <t>Taxa de Utilização de Área de Domínio Público</t>
  </si>
  <si>
    <t>1.1.2.8.01.1.3.00.00.00</t>
  </si>
  <si>
    <t>Taxa de Fiscalização de Vigilância Sanitária - Dívida Ativa</t>
  </si>
  <si>
    <t>1.1.2.8.01.1.3.01.00.00</t>
  </si>
  <si>
    <t>1.1.2.8.01.1.3.06.00.00</t>
  </si>
  <si>
    <t>1.1.2.8.01.1.4.00.00.00</t>
  </si>
  <si>
    <t>Taxa de Fiscalização de Vigilância Sanitária - M/J Dív Ativa</t>
  </si>
  <si>
    <t>1.1.2.8.01.1.4.01.00.00</t>
  </si>
  <si>
    <t>1.1.2.8.01.1.4.06.00.00</t>
  </si>
  <si>
    <t>1.1.2.8.01.9.0.00.00.00</t>
  </si>
  <si>
    <t>Taxas de Inspeção, Controle e Fiscalização - Outras</t>
  </si>
  <si>
    <t>1.1.2.8.01.9.1.00.00.00</t>
  </si>
  <si>
    <t>Taxa Inspeção, Controle e Fiscalização - Outras - Principal</t>
  </si>
  <si>
    <t>1.1.2.8.01.9.1.01.00.00</t>
  </si>
  <si>
    <t>Taxas de Inspeção, Controle e Fiscalização - Vistoria e Fisc</t>
  </si>
  <si>
    <t>1.1.2.8.01.9.1.02.00.00</t>
  </si>
  <si>
    <t>Taxa de Licença Ambiental</t>
  </si>
  <si>
    <t>1.1.2.8.01.9.1.05.00.00</t>
  </si>
  <si>
    <t>Taxas de Tnasf. Ponto / Taxis</t>
  </si>
  <si>
    <t>1.1.2.8.01.9.1.06.00.00</t>
  </si>
  <si>
    <t>Taxas de Fiscalização Bombeiros</t>
  </si>
  <si>
    <t>1.1.2.8.01.9.1.07.00.00</t>
  </si>
  <si>
    <t>1.1.2.8.01.9.1.08.00.00</t>
  </si>
  <si>
    <t>1.1.2.8.01.9.2.00.00.00</t>
  </si>
  <si>
    <t>Taxa Inspeção, Controle e Fiscalização - Outras - Multa/Juro</t>
  </si>
  <si>
    <t>1.1.2.8.01.9.2.01.00.00</t>
  </si>
  <si>
    <t>1.1.2.8.01.9.2.02.00.00</t>
  </si>
  <si>
    <t>1.1.2.8.01.9.3.00.00.00</t>
  </si>
  <si>
    <t>Taxa Inspeção, Controle e Fiscalização - Outras - Dív Ativa</t>
  </si>
  <si>
    <t>1.1.2.8.01.9.3.01.00.00</t>
  </si>
  <si>
    <t>1.1.2.8.01.9.4.00.00.00</t>
  </si>
  <si>
    <t>Taxa Inspeção, Controle e Fiscalização - Outras - M/J Dív At</t>
  </si>
  <si>
    <t>1.1.2.8.01.9.4.01.00.00</t>
  </si>
  <si>
    <t>1.1.2.8.02.0.0.00.00.00</t>
  </si>
  <si>
    <t>Taxas pela Prestação de Serviços</t>
  </si>
  <si>
    <t>1.1.2.8.02.9.0.00.00.00</t>
  </si>
  <si>
    <t>Taxas pela Prestação de Serviços - Outras</t>
  </si>
  <si>
    <t>1.1.2.8.02.9.1.00.00.00</t>
  </si>
  <si>
    <t>Taxas pela Prestação de Serviços - Outras - Principal</t>
  </si>
  <si>
    <t>1.1.2.8.02.9.1.01.00.00</t>
  </si>
  <si>
    <t>Taxas de Prestação de Serviços</t>
  </si>
  <si>
    <t>1.1.2.8.02.9.1.02.00.00</t>
  </si>
  <si>
    <t>Taxa de Cemitério</t>
  </si>
  <si>
    <t>1.1.2.8.02.9.1.04.00.00</t>
  </si>
  <si>
    <t>Taxa de Serviços Cadastrais</t>
  </si>
  <si>
    <t>1.1.2.8.02.9.1.07.00.00</t>
  </si>
  <si>
    <t>Taxa de Limpeza Pública</t>
  </si>
  <si>
    <t>1.1.2.8.02.9.2.00.00.00</t>
  </si>
  <si>
    <t>Taxas pela Prestação de Serviços - Outras - Multas/Juros</t>
  </si>
  <si>
    <t>1.1.2.8.02.9.2.01.00.00</t>
  </si>
  <si>
    <t>1.1.2.8.02.9.2.04.00.00</t>
  </si>
  <si>
    <t>1.1.2.8.02.9.3.00.00.00</t>
  </si>
  <si>
    <t>Taxas pela Prestação de Serviços - Outras - Dívida Ativa</t>
  </si>
  <si>
    <t>1.1.2.8.02.9.3.02.00.00</t>
  </si>
  <si>
    <t>1.1.2.8.02.9.3.04.00.00</t>
  </si>
  <si>
    <t>1.1.2.8.02.9.3.07.00.00</t>
  </si>
  <si>
    <t>1.1.2.8.02.9.4.00.00.00</t>
  </si>
  <si>
    <t>Taxas pela Prest. de Serviços - Outras - D.A. Multas/Juros</t>
  </si>
  <si>
    <t>1.1.2.8.02.9.4.02.00.00</t>
  </si>
  <si>
    <t>1.1.2.8.02.9.4.04.00.00</t>
  </si>
  <si>
    <t>1.1.2.8.02.9.4.07.00.00</t>
  </si>
  <si>
    <t>1.1.3.0.00.0.0.00.00.00</t>
  </si>
  <si>
    <t>Contribuição de Melhoria</t>
  </si>
  <si>
    <t>1.1.3.8.00.0.0.00.00.00</t>
  </si>
  <si>
    <t>Contribuição de Melhoria - Específica Estados, DF e Municípi</t>
  </si>
  <si>
    <t>1.1.3.8.04.0.0.00.00.00</t>
  </si>
  <si>
    <t>Cont Melhoria p/ Pavimentação e Obras Complementares</t>
  </si>
  <si>
    <t>1.1.3.8.04.1.0.00.00.00</t>
  </si>
  <si>
    <t>1.1.3.8.04.1.1.00.00.00</t>
  </si>
  <si>
    <t>CM p/ Pavimentação e Obras Complementares - Principal</t>
  </si>
  <si>
    <t>1.1.3.8.04.1.1.01.00.00</t>
  </si>
  <si>
    <t>Contribuição de Melhoria p/Pavimentação e Obras Complementar</t>
  </si>
  <si>
    <t>1.2.0.0.00.0.0.00.00.00</t>
  </si>
  <si>
    <t>Contribuições</t>
  </si>
  <si>
    <t>1.2.1.0.00.0.0.00.00.00</t>
  </si>
  <si>
    <t>Contribuições Sociais</t>
  </si>
  <si>
    <t>1.2.1.8.00.0.0.00.00.00</t>
  </si>
  <si>
    <t>Contribuições Sociais específicas de Estados, DF e Município</t>
  </si>
  <si>
    <t>1.2.1.8.01.0.0.00.00.00</t>
  </si>
  <si>
    <t>Contrib Servidor Civil p/ Plano de Seguridade Social - CPSSS</t>
  </si>
  <si>
    <t>1.2.1.8.01.1.0.00.00.00</t>
  </si>
  <si>
    <t>CPSSS do Servidor Civil Ativo</t>
  </si>
  <si>
    <t>1.2.1.8.01.1.1.00.00.00</t>
  </si>
  <si>
    <t>1.2.1.8.01.2.0.00.00.00</t>
  </si>
  <si>
    <t>CPSSS do Servidor Civil Inativo</t>
  </si>
  <si>
    <t>1.2.1.8.01.2.1.00.00.00</t>
  </si>
  <si>
    <t>1.2.1.8.01.3.0.00.00.00</t>
  </si>
  <si>
    <t>CPSSS do Servidor Civil - Pensionistas</t>
  </si>
  <si>
    <t>1.2.1.8.01.3.1.00.00.00</t>
  </si>
  <si>
    <t>1.2.1.8.03.0.0.00.00.00</t>
  </si>
  <si>
    <t>CPSSS Patronal - Servidor Civil - Específico de EST/DF/MUN</t>
  </si>
  <si>
    <t>1.2.1.8.03.1.0.00.00.00</t>
  </si>
  <si>
    <t>CPSSS Patronal - Servidor Civil Ativo</t>
  </si>
  <si>
    <t>1.2.1.8.03.1.1.00.00.00</t>
  </si>
  <si>
    <t>1.2.1.9.00.0.0.00.00.00</t>
  </si>
  <si>
    <t>Outras Contribuições Sociais</t>
  </si>
  <si>
    <t>1.2.1.9.99.0.0.00.00.00</t>
  </si>
  <si>
    <t>Demais Contribuições Sociais</t>
  </si>
  <si>
    <t>1.2.1.9.99.1.0.00.00.00</t>
  </si>
  <si>
    <t>1.2.1.9.99.1.1.00.00.00</t>
  </si>
  <si>
    <t>Demais Contribuições Sociais - Principal</t>
  </si>
  <si>
    <t>1.2.1.9.99.1.1.03.00.00</t>
  </si>
  <si>
    <t>1.2.1.9.99.1.1.04.00.00</t>
  </si>
  <si>
    <t>1.2.4.0.00.0.0.00.00.00</t>
  </si>
  <si>
    <t>Contribuição para o Custeio do Serviço de Iluminação Pública</t>
  </si>
  <si>
    <t>1.2.4.0.00.1.0.00.00.00</t>
  </si>
  <si>
    <t>1.2.4.0.00.1.1.00.00.00</t>
  </si>
  <si>
    <t>Contrib p/ Custeio Serviço de Iluminação Pública - Principal</t>
  </si>
  <si>
    <t>1.3.0.0.00.0.0.00.00.00</t>
  </si>
  <si>
    <t>1.3.1.0.00.0.0.00.00.00</t>
  </si>
  <si>
    <t>Exploração do Patrimônio Imobiliário do Estado</t>
  </si>
  <si>
    <t>1.3.1.0.01.0.0.00.00.00</t>
  </si>
  <si>
    <t>Aluguéis, Arrendamentos, Foros, Laudêmios, Tarifas Ocupação</t>
  </si>
  <si>
    <t>1.3.1.0.01.1.0.00.00.00</t>
  </si>
  <si>
    <t>Aluguéis e Arrendamentos</t>
  </si>
  <si>
    <t>1.3.1.0.01.1.1.00.00.00</t>
  </si>
  <si>
    <t>Aluguéis e Arrendamentos - Principal</t>
  </si>
  <si>
    <t>1.3.2.0.00.0.0.00.00.00</t>
  </si>
  <si>
    <t>Valores Mobiliários</t>
  </si>
  <si>
    <t>1.3.2.1.00.0.0.00.00.00</t>
  </si>
  <si>
    <t>Juros e Correções Monetárias</t>
  </si>
  <si>
    <t>1.3.2.1.00.1.0.00.00.00</t>
  </si>
  <si>
    <t>Remuneração de Depósitos Bancários</t>
  </si>
  <si>
    <t>1.3.2.1.00.1.1.00.00.00</t>
  </si>
  <si>
    <t>Remuneração de Depósitos Bancários - Principal</t>
  </si>
  <si>
    <t>1.3.2.1.00.1.1.01.00.00</t>
  </si>
  <si>
    <t>Remuneração de Depósitos de Recursos Vinculados - Principal</t>
  </si>
  <si>
    <t>1.3.2.1.00.1.1.01.02.00</t>
  </si>
  <si>
    <t>Remu. Depósitos Bancá. Recursos Vincu. - FUNDEB - Principal</t>
  </si>
  <si>
    <t>1.3.2.1.00.1.1.01.04.00</t>
  </si>
  <si>
    <t>Remu. Depósitos Bancá. de Recursos Vincu. MDE - Principal</t>
  </si>
  <si>
    <t>1.3.2.1.00.1.1.01.05.00</t>
  </si>
  <si>
    <t>Remu. Depósitos  Bancá. Recursos Vincu. ASPS - Principal</t>
  </si>
  <si>
    <t>1.3.2.1.00.1.1.01.08.00</t>
  </si>
  <si>
    <t>Remu. Depósitos Bancá. de Recursos Vincu. FNDE - Principal</t>
  </si>
  <si>
    <t>1.3.2.1.00.1.1.01.08.03</t>
  </si>
  <si>
    <t>Rendimento do FNDE - Salário Educação</t>
  </si>
  <si>
    <t>1.3.2.1.00.1.1.01.10.00</t>
  </si>
  <si>
    <t>1.3.2.1.00.2.0.00.00.00</t>
  </si>
  <si>
    <t>Remuneração de Depósitos Especiais</t>
  </si>
  <si>
    <t>1.3.2.1.00.2.1.00.00.00</t>
  </si>
  <si>
    <t>Remuneração de Depósitos Especiais - Principal</t>
  </si>
  <si>
    <t>1.3.2.1.00.2.1.03.00.00</t>
  </si>
  <si>
    <t>Remuneração de Depósitos de Recursos da Educação</t>
  </si>
  <si>
    <t>1.3.2.1.00.2.1.03.01.00</t>
  </si>
  <si>
    <t>Remuneração dos Recursos do PEATE/RS</t>
  </si>
  <si>
    <t>1.3.2.1.00.4.0.00.00.00</t>
  </si>
  <si>
    <t>Remuneração Recursos do Regime Próprio Previd Social - RPPS</t>
  </si>
  <si>
    <t>1.3.2.1.00.4.1.00.00.00</t>
  </si>
  <si>
    <t>1.4.0.0.00.0.0.00.00.00</t>
  </si>
  <si>
    <t>Receita Agropecuária</t>
  </si>
  <si>
    <t>1.4.0.0.00.1.0.00.00.00</t>
  </si>
  <si>
    <t>1.4.0.0.00.1.1.00.00.00</t>
  </si>
  <si>
    <t>Receita Agropecuária - Principal</t>
  </si>
  <si>
    <t>1.4.0.0.00.1.1.01.00.00</t>
  </si>
  <si>
    <t>Receita de Serviços Agropecuários</t>
  </si>
  <si>
    <t>1.6.0.0.00.0.0.00.00.00</t>
  </si>
  <si>
    <t>1.6.3.0.00.0.0.00.00.00</t>
  </si>
  <si>
    <t>Serviços e Atividades Referentes à Saúde</t>
  </si>
  <si>
    <t>1.6.3.8.00.0.0.00.00.00</t>
  </si>
  <si>
    <t>Serviços e Atividades Referentes à Saúde - Estados/DF/Munic</t>
  </si>
  <si>
    <t>1.6.3.8.01.0.0.00.00.00</t>
  </si>
  <si>
    <t>Serviços de Saúde - Específico para Estados/DF/Municípios</t>
  </si>
  <si>
    <t>1.6.3.8.01.1.0.00.00.00</t>
  </si>
  <si>
    <t>Serviços Hospitalares</t>
  </si>
  <si>
    <t>1.6.3.8.01.1.1.00.00.00</t>
  </si>
  <si>
    <t>Serviços Hospitalares - Principal</t>
  </si>
  <si>
    <t>1.7.0.0.00.0.0.00.00.00</t>
  </si>
  <si>
    <t>Transferências Correntes</t>
  </si>
  <si>
    <t>1.7.1.0.00.0.0.00.00.00</t>
  </si>
  <si>
    <t>Transferências da União e de suas Entidades</t>
  </si>
  <si>
    <t>1.7.1.8.00.0.0.00.00.00</t>
  </si>
  <si>
    <t>Transferências da União - Específicas Estado, DF e Município</t>
  </si>
  <si>
    <t>1.7.1.8.01.0.0.00.00.00</t>
  </si>
  <si>
    <t>Participação na Receita da União</t>
  </si>
  <si>
    <t>1.7.1.8.01.2.0.00.00.00</t>
  </si>
  <si>
    <t>Cota-Parte Fundo Participação dos Municípios - Cota Mensal</t>
  </si>
  <si>
    <t>1.7.1.8.01.2.1.00.00.00</t>
  </si>
  <si>
    <t>Cota-Parte do FPM - Cota Mensal - Principal</t>
  </si>
  <si>
    <t>1.7.1.8.01.2.1.01.00.00</t>
  </si>
  <si>
    <t>Cota-Parte do FPM - Cota Mensal - Principal - PRÓPRIO</t>
  </si>
  <si>
    <t>1.7.1.8.01.2.1.02.00.00</t>
  </si>
  <si>
    <t>Cota-Parte do FPM - Cota Mensal - Principal - MDE</t>
  </si>
  <si>
    <t>1.7.1.8.01.2.1.03.00.00</t>
  </si>
  <si>
    <t>Cota-Parte do FPM - Cota Mensal - Principal - ASPS</t>
  </si>
  <si>
    <t>1.7.1.8.01.2.1.04.00.00</t>
  </si>
  <si>
    <t>1.7.1.8.01.3.0.00.00.00</t>
  </si>
  <si>
    <t>Cota-Parte do FPM - 1% Cota entregue no mês de dezembro</t>
  </si>
  <si>
    <t>1.7.1.8.01.3.1.00.00.00</t>
  </si>
  <si>
    <t>Cota-Parte do FPM - 1% Cota entregue em dezembro - Principal</t>
  </si>
  <si>
    <t>1.7.1.8.01.3.1.01.00.00</t>
  </si>
  <si>
    <t>Cota-Parte do FPM - 1% Cota dezembro - Principal - PRÓPRIO</t>
  </si>
  <si>
    <t>1.7.1.8.01.3.1.02.00.00</t>
  </si>
  <si>
    <t>Cota-Parte do FPM - 1% Cota dezembro - Principal -  MDE</t>
  </si>
  <si>
    <t>1.7.1.8.01.3.1.03.00.00</t>
  </si>
  <si>
    <t>Cota-Parte do FPM - 1% Cota dezembro - Principal - ASPS</t>
  </si>
  <si>
    <t>1.7.1.8.01.4.0.00.00.00</t>
  </si>
  <si>
    <t>Cota-Parte do FPM - 1% Cota entregue no mês de julho</t>
  </si>
  <si>
    <t>1.7.1.8.01.4.1.00.00.00</t>
  </si>
  <si>
    <t>Cota-Parte do FPM - 1% Cota entregue em julho - Principal</t>
  </si>
  <si>
    <t>1.7.1.8.01.4.1.01.00.00</t>
  </si>
  <si>
    <t>Cota-Parte do FPM - 1% Cota julho - Principal - PRÓPRIO</t>
  </si>
  <si>
    <t>1.7.1.8.01.4.1.02.00.00</t>
  </si>
  <si>
    <t>Cota-Parte do FPM - 1% Cota julho - Principal -  MDE</t>
  </si>
  <si>
    <t>1.7.1.8.01.4.1.03.00.00</t>
  </si>
  <si>
    <t>Cota-Parte do FPM - 1% Cota julho - Principal - ASPS</t>
  </si>
  <si>
    <t>1.7.1.8.01.5.0.00.00.00</t>
  </si>
  <si>
    <t>Cota-Parte do Imposto Sobre a Propriedade Territorial Rural</t>
  </si>
  <si>
    <t>1.7.1.8.01.5.1.00.00.00</t>
  </si>
  <si>
    <t>Cota-Parte do ITR - Principal</t>
  </si>
  <si>
    <t>1.7.1.8.01.5.1.01.00.00</t>
  </si>
  <si>
    <t>Cota-Parte do ITR - Principal - PRÓPRIO</t>
  </si>
  <si>
    <t>1.7.1.8.01.5.1.02.00.00</t>
  </si>
  <si>
    <t>Cota-Parte do ITR - Principal - MDE</t>
  </si>
  <si>
    <t>1.7.1.8.01.5.1.03.00.00</t>
  </si>
  <si>
    <t>Cota-Parte do ITR - Principal - ASPS</t>
  </si>
  <si>
    <t>1.7.1.8.01.5.1.04.00.00</t>
  </si>
  <si>
    <t>1.7.1.8.02.0.0.00.00.00</t>
  </si>
  <si>
    <t>Transf da Compensação Financ pela Exploração de Rec Naturais</t>
  </si>
  <si>
    <t>1.7.1.8.02.2.0.00.00.00</t>
  </si>
  <si>
    <t>Cota-parte Compensação Financ Recursos Minerais - CFEM</t>
  </si>
  <si>
    <t>1.7.1.8.02.2.1.00.00.00</t>
  </si>
  <si>
    <t>Cota-parte Compensação Financ Rec Mineral - CFEM - Principal</t>
  </si>
  <si>
    <t>1.7.1.8.02.6.0.00.00.00</t>
  </si>
  <si>
    <t>Cota-Parte do Fundo Especial do Petróleo - FEP</t>
  </si>
  <si>
    <t>1.7.1.8.02.6.1.00.00.00</t>
  </si>
  <si>
    <t>Cota-Parte do Fundo Especial do Petróleo - FEP - Principal</t>
  </si>
  <si>
    <t>1.7.1.8.03.0.0.00.00.00</t>
  </si>
  <si>
    <t>Transf Recurso SUS - Bloco de Manutenção das ASPS</t>
  </si>
  <si>
    <t>1.7.1.8.03.1.0.00.00.00</t>
  </si>
  <si>
    <t>Transferência de Recursos do SUS - Atenção Primária</t>
  </si>
  <si>
    <t>1.7.1.8.03.1.1.00.00.00</t>
  </si>
  <si>
    <t>Transferência do SUS – Atenção Primária - Principal</t>
  </si>
  <si>
    <t>1.7.1.8.03.1.1.01.00.00</t>
  </si>
  <si>
    <t>Recursos do FNS - Bloco da Atenção Básica</t>
  </si>
  <si>
    <t>1.7.1.8.03.1.1.01.10.00</t>
  </si>
  <si>
    <t>CUSTEIO DA ATENÇÃO BÁSICA - PABS</t>
  </si>
  <si>
    <t>1.7.1.8.03.1.1.01.10.02</t>
  </si>
  <si>
    <t>Incentivo Financeiro das APS - Capitação Ponderada</t>
  </si>
  <si>
    <t>1.7.1.8.03.2.0.00.00.00</t>
  </si>
  <si>
    <t>Transferência de Recursos do SUS – Atenção Especializada</t>
  </si>
  <si>
    <t>1.7.1.8.03.2.1.00.00.00</t>
  </si>
  <si>
    <t>Transferência do SUS – Atenção Especializada - Principal</t>
  </si>
  <si>
    <t>1.7.1.8.03.2.1.01.00.00</t>
  </si>
  <si>
    <t xml:space="preserve">Rep. Atenção à Saúde da pop. p/ Procedimentos no SAMU </t>
  </si>
  <si>
    <t>1.7.1.8.03.3.0.00.00.00</t>
  </si>
  <si>
    <t>Transferência de Recursos do SUS - Vigilância em Saúde</t>
  </si>
  <si>
    <t>1.7.1.8.03.3.1.00.00.00</t>
  </si>
  <si>
    <t>Transf Recursos do SUS - Vigilância em Saúde  - Principal</t>
  </si>
  <si>
    <t>1.7.1.8.03.3.1.02.00.00</t>
  </si>
  <si>
    <t>Repasses para a Vigilância em Saúde</t>
  </si>
  <si>
    <t>1.7.1.8.03.4.0.00.00.00</t>
  </si>
  <si>
    <t>Transferência de Recursos do SUS - Assistência Farmacêutica</t>
  </si>
  <si>
    <t>1.7.1.8.03.4.1.00.00.00</t>
  </si>
  <si>
    <t>Transferêcias do SUS - Assistência Farmacêutica  - Principal</t>
  </si>
  <si>
    <t>1.7.1.8.03.4.1.01.00.00</t>
  </si>
  <si>
    <t>Rep. da Promoção da Assitência Farmacêutica e Insumos</t>
  </si>
  <si>
    <t>1.7.1.8.04.0.0.00.00.00</t>
  </si>
  <si>
    <t>Transfência Recursos do SUS - Bloco de Estruturação RSPC</t>
  </si>
  <si>
    <t>1.7.1.8.04.1.0.00.00.00</t>
  </si>
  <si>
    <t>Transfer Recursos do SUS destinados à Atenção Primária</t>
  </si>
  <si>
    <t>1.7.1.8.04.1.1.00.00.00</t>
  </si>
  <si>
    <t>Transf Rec do SUS destinados à Atenção Primária - Principal</t>
  </si>
  <si>
    <t>1.7.1.8.04.1.1.01.00.00</t>
  </si>
  <si>
    <t>Repasses do Bloco da Proteção Social Especial de Média Compl</t>
  </si>
  <si>
    <t>1.7.1.8.04.1.1.01.01.00</t>
  </si>
  <si>
    <t>Rep. Estruturação da Rede de Serviços de Atenção Básica</t>
  </si>
  <si>
    <t>1.7.1.8.04.2.0.00.00.00</t>
  </si>
  <si>
    <t>Transfer Recursos do SUS destinados à Atenção Especializada</t>
  </si>
  <si>
    <t>1.7.1.8.04.2.1.00.00.00</t>
  </si>
  <si>
    <t>Transf Rec SUS destinados à Atenção Especializada- Principal</t>
  </si>
  <si>
    <t>1.7.1.8.05.0.0.00.00.00</t>
  </si>
  <si>
    <t>Transf Recursos Fundo Nacional Desenv da Educação - FNDE</t>
  </si>
  <si>
    <t>1.7.1.8.05.1.0.00.00.00</t>
  </si>
  <si>
    <t>Transferências do Salário-Educação</t>
  </si>
  <si>
    <t>1.7.1.8.05.1.1.00.00.00</t>
  </si>
  <si>
    <t>Transferências do Salário-Educação - Principal</t>
  </si>
  <si>
    <t>1.7.1.8.05.3.0.00.00.00</t>
  </si>
  <si>
    <t>Transf Direta FNDE Progr Nacional Alimentação Escolar - PNAE</t>
  </si>
  <si>
    <t>1.7.1.8.05.3.1.00.00.00</t>
  </si>
  <si>
    <t>Programa Nacional de Alimentação Escolar - PNAE - Principal</t>
  </si>
  <si>
    <t>1.7.1.8.05.3.1.01.00.00</t>
  </si>
  <si>
    <t>Transf. Diretas do FNDE ao PNAE - Ensino Fundamental</t>
  </si>
  <si>
    <t>1.7.1.8.05.3.1.02.00.00</t>
  </si>
  <si>
    <t>Transf. Diretas do FNDE ao PNAE - Educação de Jovens e Adult</t>
  </si>
  <si>
    <t>1.7.1.8.05.3.1.03.00.00</t>
  </si>
  <si>
    <t>Transf. Diretas do FNDE ao PNAE -Ensino Infantil Pre- Escola</t>
  </si>
  <si>
    <t>1.7.1.8.05.3.1.04.00.00</t>
  </si>
  <si>
    <t>Transf. Diretas do FNDE ao PNAE - Ensino Infantil - Creche</t>
  </si>
  <si>
    <t>1.7.1.8.05.3.1.05.00.00</t>
  </si>
  <si>
    <t>Transf. Diretas do FNDE ao PNAE - Alimentação Escolar - AEE</t>
  </si>
  <si>
    <t>1.7.1.8.05.3.1.06.00.00</t>
  </si>
  <si>
    <t>Transf. Diretas do FNDE ao PNAE - Mais Educação -Fundamental</t>
  </si>
  <si>
    <t>1.7.1.8.05.4.0.00.00.00</t>
  </si>
  <si>
    <t>Transf Direta FNDE Progr Nacion Apoio Transp Escolar - PNATE</t>
  </si>
  <si>
    <t>1.7.1.8.05.4.1.00.00.00</t>
  </si>
  <si>
    <t>Programa Nacional Apoio Transporte Escolar - PNATE - Princip</t>
  </si>
  <si>
    <t>1.7.1.8.05.4.1.01.00.00</t>
  </si>
  <si>
    <t>Transf.Diretas do FNDE ao Transp.Esc.- PNATE -Educ. Infantil</t>
  </si>
  <si>
    <t>1.7.1.8.05.4.1.02.00.00</t>
  </si>
  <si>
    <t>Transf.Diretas do FNDE ao Transp.Esc.- PNATE -Educ. Fundamen</t>
  </si>
  <si>
    <t>1.7.1.8.12.0.0.00.00.00</t>
  </si>
  <si>
    <t>Transf Recursos Fundo Nacional de Assistência Social - FNAS</t>
  </si>
  <si>
    <t>1.7.1.8.12.1.0.00.00.00</t>
  </si>
  <si>
    <t>1.7.1.8.12.1.1.00.00.00</t>
  </si>
  <si>
    <t>Transferências de Recursos do FNAS - Principal</t>
  </si>
  <si>
    <t>1.7.1.8.12.1.1.01.00.00</t>
  </si>
  <si>
    <t>REPASSES DO BLOCO DE PROTEÇÃO SOCIAL DE MÉDIA COMPLEXIDADE</t>
  </si>
  <si>
    <t>1.7.1.8.12.1.1.01.01.00</t>
  </si>
  <si>
    <t>Repasses para Componente do Piso Fixo de Média Complexidade</t>
  </si>
  <si>
    <t>1.7.1.8.12.1.1.01.02.00</t>
  </si>
  <si>
    <t>Inclemento da Proteção Social de Média Complexidade</t>
  </si>
  <si>
    <t>1.7.1.8.12.1.1.02.00.00</t>
  </si>
  <si>
    <t>REPASSES DO BLOCO DA PROTEÇÃO ESPECIAL DE ALTA COMPLEXIDADE</t>
  </si>
  <si>
    <t>1.7.1.8.12.1.1.02.01.00</t>
  </si>
  <si>
    <t>Repasses do Componente do Piso de Alta Complexidade I -ASILO</t>
  </si>
  <si>
    <t>1.7.1.8.12.1.1.02.03.00</t>
  </si>
  <si>
    <t>Repasses do Piso de Alta Complexidade I Criança e do Adolesc</t>
  </si>
  <si>
    <t>1.7.1.8.12.1.1.03.00.00</t>
  </si>
  <si>
    <t>Rep. Compenente - Serviço de Convivência e Fortalecimento de</t>
  </si>
  <si>
    <t>1.7.1.8.12.1.1.04.00.00</t>
  </si>
  <si>
    <t xml:space="preserve">Repasses p/ Componente do Piso Básico Variável III - Equipe </t>
  </si>
  <si>
    <t>1.7.1.8.12.1.1.05.00.00</t>
  </si>
  <si>
    <t xml:space="preserve">Repasses p/ Componente - Piso Básico Fixo </t>
  </si>
  <si>
    <t>1.7.1.8.12.1.1.06.00.00</t>
  </si>
  <si>
    <t>Repasse p/ Bloco da Gestão do Programa Bolsa Familia e Cadas</t>
  </si>
  <si>
    <t>1.7.1.8.12.1.1.07.00.00</t>
  </si>
  <si>
    <t>Repasses Componente - Progr. Primeira Infância no SUAS</t>
  </si>
  <si>
    <t>1.7.2.0.00.0.0.00.00.00</t>
  </si>
  <si>
    <t>Transf dos Estados e do Distrito Federal e de suas Entidades</t>
  </si>
  <si>
    <t>1.7.2.8.00.0.0.00.00.00</t>
  </si>
  <si>
    <t>Transf dos Estados - Específicas de Estados, DF e Municípios</t>
  </si>
  <si>
    <t>1.7.2.8.01.0.0.00.00.00</t>
  </si>
  <si>
    <t>Participação na Receita dos Estados</t>
  </si>
  <si>
    <t>1.7.2.8.01.1.0.00.00.00</t>
  </si>
  <si>
    <t>Cota-Parte do ICMS</t>
  </si>
  <si>
    <t>1.7.2.8.01.1.1.00.00.00</t>
  </si>
  <si>
    <t>Cota-Parte do ICMS - Principal</t>
  </si>
  <si>
    <t>1.7.2.8.01.1.1.01.00.00</t>
  </si>
  <si>
    <t>Cota-Parte do ICMS - Principal - PRÓPRIO</t>
  </si>
  <si>
    <t>1.7.2.8.01.1.1.02.00.00</t>
  </si>
  <si>
    <t>Cota-Parte do ICMS - Principal - MDE</t>
  </si>
  <si>
    <t>1.7.2.8.01.1.1.03.00.00</t>
  </si>
  <si>
    <t>Cota-Parte do ICMS - Principal- ASPS</t>
  </si>
  <si>
    <t>1.7.2.8.01.1.1.04.00.00</t>
  </si>
  <si>
    <t>1.7.2.8.01.2.0.00.00.00</t>
  </si>
  <si>
    <t>Cota-Parte do IPVA</t>
  </si>
  <si>
    <t>1.7.2.8.01.2.1.00.00.00</t>
  </si>
  <si>
    <t>Cota-Parte do IPVA - Principal</t>
  </si>
  <si>
    <t>1.7.2.8.01.2.1.01.00.00</t>
  </si>
  <si>
    <t>Cota-Parte do IPVA - Principal - PRÓPRIO</t>
  </si>
  <si>
    <t>1.7.2.8.01.2.1.02.00.00</t>
  </si>
  <si>
    <t>Cota-Parte do IPVA - Principal - MDE</t>
  </si>
  <si>
    <t>1.7.2.8.01.2.1.03.00.00</t>
  </si>
  <si>
    <t>Cota-Parte do IPVA - Principal - ASPS</t>
  </si>
  <si>
    <t>1.7.2.8.01.2.1.04.00.00</t>
  </si>
  <si>
    <t>1.7.2.8.01.3.0.00.00.00</t>
  </si>
  <si>
    <t>Cota-Parte do IPI - Municípios</t>
  </si>
  <si>
    <t>1.7.2.8.01.3.1.00.00.00</t>
  </si>
  <si>
    <t>Cota-Parte do IPI - Municípios - Principal</t>
  </si>
  <si>
    <t>1.7.2.8.01.3.1.01.00.00</t>
  </si>
  <si>
    <t>Cota-Parte do IPI - Municípios - Principal - PRÓPRIO</t>
  </si>
  <si>
    <t>1.7.2.8.01.3.1.02.00.00</t>
  </si>
  <si>
    <t>Cota-Parte do IPI - Municípios - Principal - MDE</t>
  </si>
  <si>
    <t>1.7.2.8.01.3.1.03.00.00</t>
  </si>
  <si>
    <t>Cota-Parte do IPI - Municípios - Principal - ASPS</t>
  </si>
  <si>
    <t>1.7.2.8.01.3.1.04.00.00</t>
  </si>
  <si>
    <t>1.7.2.8.01.4.0.00.00.00</t>
  </si>
  <si>
    <t>Cota-Parte Contribuição de Intervenção no Domínio Econômico</t>
  </si>
  <si>
    <t>1.7.2.8.01.4.1.00.00.00</t>
  </si>
  <si>
    <t>Cota-Parte da CIDE - Principal</t>
  </si>
  <si>
    <t>1.7.2.8.01.5.0.00.00.00</t>
  </si>
  <si>
    <t>Outras Participações na Receita dos Estados</t>
  </si>
  <si>
    <t>1.7.2.8.01.5.1.00.00.00</t>
  </si>
  <si>
    <t>Outras Participações na Receita dos Estados - Principal</t>
  </si>
  <si>
    <t>1.7.2.8.01.5.1.02.00.00</t>
  </si>
  <si>
    <t>Receitas de Multas de Transito</t>
  </si>
  <si>
    <t>1.7.2.8.02.0.0.00.00.00</t>
  </si>
  <si>
    <t>Transferência da Cota-parte da Compensação Financeira (25%)</t>
  </si>
  <si>
    <t>1.7.2.8.02.2.0.00.00.00</t>
  </si>
  <si>
    <t>Cota-parte da Compensação Financeira de Recursos Minerais</t>
  </si>
  <si>
    <t>1.7.2.8.02.2.1.00.00.00</t>
  </si>
  <si>
    <t>Cota-parte Compensação Financ Recursos Minerais - Principal</t>
  </si>
  <si>
    <t>1.7.2.8.03.0.0.00.00.00</t>
  </si>
  <si>
    <t>Transf Rec do Estado p/ Progr Saúde - Repasse Fundo a Fundo</t>
  </si>
  <si>
    <t>1.7.2.8.03.1.0.00.00.00</t>
  </si>
  <si>
    <t>1.7.2.8.03.1.1.00.00.00</t>
  </si>
  <si>
    <t>Transf Rec Estado Prog Saúde - Rep Fundo a Fundo - Principal</t>
  </si>
  <si>
    <t>1.7.2.8.03.1.1.01.00.00</t>
  </si>
  <si>
    <t>Repasses Fundo a Funda do Estado as Equip de Saúde da Famíli</t>
  </si>
  <si>
    <t>1.7.2.8.03.1.1.02.00.00</t>
  </si>
  <si>
    <t>Repass. p/Custeio dos Centros de Atenção Psicosocial -CAPS I</t>
  </si>
  <si>
    <t>1.7.2.8.03.1.1.04.00.00</t>
  </si>
  <si>
    <t>Repasse p/Custeio e Manutenção das Unidades Móveis SB - SAMU</t>
  </si>
  <si>
    <t>1.7.2.8.03.1.1.05.00.00</t>
  </si>
  <si>
    <t>Repass.do Inc.da Farmácia Bás. e Insumos p/Controle Diabetes</t>
  </si>
  <si>
    <t>1.7.2.8.03.1.1.07.00.00</t>
  </si>
  <si>
    <t>Repas.do Incent.a Qualificação da Atenção Bás. em Saúde PIES</t>
  </si>
  <si>
    <t>1.7.2.8.03.1.1.14.00.00</t>
  </si>
  <si>
    <t>Repasses p/ Reabilitação de Pessoas c/ Deficência</t>
  </si>
  <si>
    <t>1.7.2.8.10.0.0.00.00.00</t>
  </si>
  <si>
    <t>Transf de Convênios dos Estados e do DF e de Suas Entidades</t>
  </si>
  <si>
    <t>1.7.2.8.10.2.0.00.00.00</t>
  </si>
  <si>
    <t>Transferências Convênio dos Estados p/ Programas de Educação</t>
  </si>
  <si>
    <t>1.7.2.8.10.2.1.00.00.00</t>
  </si>
  <si>
    <t>Transf Convênio Estados p/ Programas de Educação - Principal</t>
  </si>
  <si>
    <t>1.7.2.8.10.2.1.01.00.00</t>
  </si>
  <si>
    <t>Transfe. Convênios para o Transporte Escolar - Principal</t>
  </si>
  <si>
    <t>1.7.3.0.00.0.0.00.00.00</t>
  </si>
  <si>
    <t>Transferências dos Municípios e de suas Entidades</t>
  </si>
  <si>
    <t>1.7.3.8.00.0.0.00.00.00</t>
  </si>
  <si>
    <t>Transf dos Municípios - Específicas de Estados, DF e Municíp</t>
  </si>
  <si>
    <t>1.7.3.8.10.0.0.00.00.00</t>
  </si>
  <si>
    <t>Transf de Convênios dos Municípios e de Suas Entidades</t>
  </si>
  <si>
    <t>1.7.3.8.10.9.0.00.00.00</t>
  </si>
  <si>
    <t>Outras Transferências de Convênios dos Municípios</t>
  </si>
  <si>
    <t>1.7.3.8.10.9.1.00.00.00</t>
  </si>
  <si>
    <t>Outras Transferências Convênios dos Municípios - Principal</t>
  </si>
  <si>
    <t>1.7.3.8.10.9.1.01.00.00</t>
  </si>
  <si>
    <t>Auxilio Financeiro para o Município</t>
  </si>
  <si>
    <t>1.7.5.0.00.0.0.00.00.00</t>
  </si>
  <si>
    <t>Transferências de Outras Instituições Públicas</t>
  </si>
  <si>
    <t>1.7.5.8.00.0.0.00.00.00</t>
  </si>
  <si>
    <t>Transf de Outras Instit Públicas - Espec Estados, DF e Munic</t>
  </si>
  <si>
    <t>1.7.5.8.01.0.0.00.00.00</t>
  </si>
  <si>
    <t>Transferências de Recursos do FUNDEB</t>
  </si>
  <si>
    <t>1.7.5.8.01.1.0.00.00.00</t>
  </si>
  <si>
    <t>1.7.5.8.01.1.1.00.00.00</t>
  </si>
  <si>
    <t>Transferências de Recursos do FUNDEB - Principal</t>
  </si>
  <si>
    <t>1.9.0.0.00.0.0.00.00.00</t>
  </si>
  <si>
    <t>1.9.2.0.00.0.0.00.00.00</t>
  </si>
  <si>
    <t>Indenizações, Restituições e Ressarcimentos</t>
  </si>
  <si>
    <t>1.9.2.8.00.0.0.00.00.00</t>
  </si>
  <si>
    <t>Indenizações, Restituições e Ressarcimentos - Espec E/DF/M</t>
  </si>
  <si>
    <t>1.9.2.8.02.0.0.00.00.00</t>
  </si>
  <si>
    <t>Restituições - Específicas para Estados/DF/Municípios</t>
  </si>
  <si>
    <t>1.9.2.8.02.9.0.00.00.00</t>
  </si>
  <si>
    <t>Outras Restituições - Específicas para Estados/DF/Municípios</t>
  </si>
  <si>
    <t>1.9.2.8.02.9.1.00.00.00</t>
  </si>
  <si>
    <t>Outras Restituições - Principal</t>
  </si>
  <si>
    <t>1.9.2.8.02.9.1.02.00.00</t>
  </si>
  <si>
    <t>Programa Troca-troca</t>
  </si>
  <si>
    <t>1.9.2.8.02.9.1.04.00.00</t>
  </si>
  <si>
    <t>Restituição Pelo Pagamento Indevido</t>
  </si>
  <si>
    <t>1.9.2.8.02.9.1.05.00.00</t>
  </si>
  <si>
    <t>Restituição de Auxílios</t>
  </si>
  <si>
    <t>1.9.2.8.02.9.2.00.00.00</t>
  </si>
  <si>
    <t>Outras Restituições - Multas e Juros de Mora</t>
  </si>
  <si>
    <t>1.9.2.8.02.9.2.01.00.00</t>
  </si>
  <si>
    <t>Restituições Determinadas pelo TCE</t>
  </si>
  <si>
    <t>1.9.2.8.02.9.2.02.00.00</t>
  </si>
  <si>
    <t>1.9.2.8.02.9.2.04.00.00</t>
  </si>
  <si>
    <t>1.9.2.8.02.9.2.05.00.00</t>
  </si>
  <si>
    <t>1.9.2.8.02.9.2.08.00.00</t>
  </si>
  <si>
    <t>Restituição por danos ao Patrimônio Público</t>
  </si>
  <si>
    <t>1.9.2.8.02.9.3.00.00.00</t>
  </si>
  <si>
    <t>Outras Restituições - Dívida Ativa</t>
  </si>
  <si>
    <t>1.9.2.8.02.9.3.01.00.00</t>
  </si>
  <si>
    <t>1.9.2.8.02.9.3.02.00.00</t>
  </si>
  <si>
    <t>1.9.2.8.02.9.3.04.00.00</t>
  </si>
  <si>
    <t>1.9.2.8.02.9.3.05.00.00</t>
  </si>
  <si>
    <t>1.9.2.8.02.9.4.00.00.00</t>
  </si>
  <si>
    <t>Outras Restituições - Multas e Juros de Mora da Dívida Ativa</t>
  </si>
  <si>
    <t>1.9.2.8.02.9.4.01.00.00</t>
  </si>
  <si>
    <t>1.9.2.8.02.9.4.02.00.00</t>
  </si>
  <si>
    <t>1.9.2.8.03.0.0.00.00.00</t>
  </si>
  <si>
    <t>Ressarcimentos - Específicas para Estados/DF/Municípios</t>
  </si>
  <si>
    <t>1.9.2.8.03.1.0.00.00.00</t>
  </si>
  <si>
    <t>Ressarcimento - Específicas para Estados/DF/Municípios</t>
  </si>
  <si>
    <t>1.9.2.8.03.1.1.00.00.00</t>
  </si>
  <si>
    <t>Ressarcimento - Principal</t>
  </si>
  <si>
    <t>1.9.2.8.03.1.1.01.00.00</t>
  </si>
  <si>
    <t>Recuperação de Despesas de Exercícios Anteriores</t>
  </si>
  <si>
    <t>1.9.9.0.00.0.0.00.00.00</t>
  </si>
  <si>
    <t>1.9.9.0.03.0.0.00.00.00</t>
  </si>
  <si>
    <t>Compensações Financeiras entre o RGPS e os RPPS</t>
  </si>
  <si>
    <t>1.9.9.0.03.1.0.00.00.00</t>
  </si>
  <si>
    <t>1.9.9.0.03.1.1.00.00.00</t>
  </si>
  <si>
    <t>1.9.9.0.12.0.0.00.00.00</t>
  </si>
  <si>
    <t>Enc Legais Inscr Dív Ativa e Receitas de Ônus de Sucumbência</t>
  </si>
  <si>
    <t>1.9.9.0.12.2.0.00.00.00</t>
  </si>
  <si>
    <t>Ônus de Sucumbência</t>
  </si>
  <si>
    <t>1.9.9.0.12.2.1.00.00.00</t>
  </si>
  <si>
    <t>Ônus de Sucumbência - Principal</t>
  </si>
  <si>
    <t>1.9.9.0.99.0.0.00.00.00</t>
  </si>
  <si>
    <t>Outras Receitas</t>
  </si>
  <si>
    <t>1.9.9.0.99.1.0.00.00.00</t>
  </si>
  <si>
    <t>Outras Receitas - Primárias</t>
  </si>
  <si>
    <t>1.9.9.0.99.1.1.00.00.00</t>
  </si>
  <si>
    <t>Outras Receitas - Primárias - Principal</t>
  </si>
  <si>
    <t>1.9.9.0.99.1.1.03.00.00</t>
  </si>
  <si>
    <t>1.9.9.0.99.1.1.99.00.00</t>
  </si>
  <si>
    <t>Outras Receitas Diversas</t>
  </si>
  <si>
    <t>1.9.9.0.99.1.3.00.00.00</t>
  </si>
  <si>
    <t>Outras Receitas - Primárias - Dívida Ativa</t>
  </si>
  <si>
    <t>1.9.9.0.99.1.3.03.00.00</t>
  </si>
  <si>
    <t>Recei. Dire. Fundo Assis. Saúde Servi. - Dívida Ativa</t>
  </si>
  <si>
    <t>1.9.9.0.99.2.0.00.00.00</t>
  </si>
  <si>
    <t>Outras Receitas - Financeiras</t>
  </si>
  <si>
    <t>1.9.9.0.99.2.1.00.00.00</t>
  </si>
  <si>
    <t>Outras Receitas - Financeiras - Principal</t>
  </si>
  <si>
    <t>Receitas Correntes Intra-Orçamentárias</t>
  </si>
  <si>
    <t>7.0.0.0.00.0.0.00.00.00</t>
  </si>
  <si>
    <t>Receitas Correntes Intraorçamentárias</t>
  </si>
  <si>
    <t>7.2.0.0.00.0.0.00.00.00</t>
  </si>
  <si>
    <t>7.2.1.0.00.0.0.00.00.00</t>
  </si>
  <si>
    <t>7.2.1.8.00.0.0.00.00.00</t>
  </si>
  <si>
    <t>7.2.1.8.03.0.0.00.00.00</t>
  </si>
  <si>
    <t>7.2.1.8.03.1.0.00.00.00</t>
  </si>
  <si>
    <t>7.2.1.8.03.1.1.00.00.00</t>
  </si>
  <si>
    <t>7.2.1.8.03.1.1.01.00.00</t>
  </si>
  <si>
    <t>Contribuição Patronal Normal</t>
  </si>
  <si>
    <t>7.2.1.8.03.2.0.00.00.00</t>
  </si>
  <si>
    <t>CPSSS Patronal - Servidor Civil Inativo</t>
  </si>
  <si>
    <t>7.2.1.8.03.2.1.00.00.00</t>
  </si>
  <si>
    <t>CPSSS Patronal - Servidor Civil Inativo - Principal</t>
  </si>
  <si>
    <t>7.2.1.8.03.3.0.00.00.00</t>
  </si>
  <si>
    <t>CPSSS Patronal - Servidor Civil - Pensionistas</t>
  </si>
  <si>
    <t>7.2.1.8.03.3.1.00.00.00</t>
  </si>
  <si>
    <t>CPSSS Patronal - Servidor Civil - Pensionistas - Principal</t>
  </si>
  <si>
    <t>7.2.1.8.04.0.0.00.00.00</t>
  </si>
  <si>
    <t>CPSSS Patronal - Parcelamentos - Específico de EST/DF/MUN</t>
  </si>
  <si>
    <t>7.2.1.8.04.1.0.00.00.00</t>
  </si>
  <si>
    <t>CPSSS Patronal - Parcelamentos - Servidor Civil Ativo</t>
  </si>
  <si>
    <t>7.2.1.8.04.1.1.00.00.00</t>
  </si>
  <si>
    <t>CPSSS Patronal - Parcelamento - Serv Civil Ativo - Principal</t>
  </si>
  <si>
    <t>7.2.1.8.04.1.6.00.00.00</t>
  </si>
  <si>
    <t>CPSSS Patronal - Parcelamento - Serv Civil Ativo - Juros</t>
  </si>
  <si>
    <t>7.2.1.9.00.0.0.00.00.00</t>
  </si>
  <si>
    <t>7.2.1.9.99.0.0.00.00.00</t>
  </si>
  <si>
    <t>7.2.1.9.99.2.0.00.00.00</t>
  </si>
  <si>
    <t>Demais Contribuições Sociais - Parcelamentos</t>
  </si>
  <si>
    <t>7.2.1.9.99.2.1.00.00.00</t>
  </si>
  <si>
    <t>Demais Contribuições Sociais - Parcelamentos - Principal</t>
  </si>
  <si>
    <t>7.9.0.0.00.0.0.00.00.00</t>
  </si>
  <si>
    <t>7.9.9.0.00.0.0.00.00.00</t>
  </si>
  <si>
    <t>7.9.9.0.01.0.0.00.00.00</t>
  </si>
  <si>
    <t>Aportes Periódicos p/ Amortização Déficit Atuarial do RPPS</t>
  </si>
  <si>
    <t>7.9.9.0.01.1.0.00.00.00</t>
  </si>
  <si>
    <t>7.9.9.0.01.1.1.00.00.00</t>
  </si>
  <si>
    <t>Aportes Periódicos Amortiz Déficit Atuarial RPPS - Principal</t>
  </si>
  <si>
    <t>7.9.9.0.01.1.3.00.00.00</t>
  </si>
  <si>
    <t>Aportes Periódicos Amortiz Déficit Atuarial RPPS - Dív Ativa</t>
  </si>
  <si>
    <t>Receitas de capital</t>
  </si>
  <si>
    <t>2.0.0.0.00.0.0.00.00.00</t>
  </si>
  <si>
    <t>Receitas de Capital</t>
  </si>
  <si>
    <t>2.1.0.0.00.0.0.00.00.00</t>
  </si>
  <si>
    <t>Operações de Crédito</t>
  </si>
  <si>
    <t>2.1.1.0.00.0.0.00.00.00</t>
  </si>
  <si>
    <t>Operações de Crédito - Mercado Interno</t>
  </si>
  <si>
    <t>2.1.1.8.00.0.0.00.00.00</t>
  </si>
  <si>
    <t>Operações Crédito - Mercado Interno - Estados/DF/Municípios</t>
  </si>
  <si>
    <t>2.1.1.8.01.0.0.00.00.00</t>
  </si>
  <si>
    <t>Operações de Crédito Internas de Estados/DF/Municípios</t>
  </si>
  <si>
    <t>2.1.1.8.01.5.0.00.00.00</t>
  </si>
  <si>
    <t>Operações de Crédito Internas Programas Moderniz Adm Pública</t>
  </si>
  <si>
    <t>2.1.1.8.01.5.1.00.00.00</t>
  </si>
  <si>
    <t>Oper Crédito Internas Programas Moderniz Adm Pública - Princ</t>
  </si>
  <si>
    <t>2.1.1.8.01.5.1.01.00.00</t>
  </si>
  <si>
    <t>Operações de Crédito Internas para Programas de Modernização</t>
  </si>
  <si>
    <t>2.3.0.0.00.0.0.00.00.00</t>
  </si>
  <si>
    <t>2.3.0.0.06.0.0.00.00.00</t>
  </si>
  <si>
    <t>Amortização de Empréstimos Contratuais</t>
  </si>
  <si>
    <t>2.3.0.0.06.1.0.00.00.00</t>
  </si>
  <si>
    <t>2.3.0.0.06.1.1.00.00.00</t>
  </si>
  <si>
    <t>Amortização de Empréstimos Contratuais - Principal</t>
  </si>
  <si>
    <t>2.3.0.0.06.1.1.02.00.00</t>
  </si>
  <si>
    <t>AMORTIZACAO DE FINANC. CONCEDIDOS AOS CONT. E/OU AGRICULTORE</t>
  </si>
  <si>
    <t>Total de Receitas</t>
  </si>
  <si>
    <t>Deduções da receita</t>
  </si>
  <si>
    <t>FUNDEB</t>
  </si>
  <si>
    <t>Total Liquido das Receitas</t>
  </si>
  <si>
    <t>Total Geral</t>
  </si>
  <si>
    <t xml:space="preserve">I – Das Metas Fiscais Anuais </t>
  </si>
  <si>
    <t>Fonte: Valores extraídos das Planilhas de apuração dos valores do PPA 2022/2025 atualizado pelo Projeto de Operação de Crédito para 2022.</t>
  </si>
  <si>
    <r>
      <rPr>
        <b/>
        <sz val="6"/>
        <color theme="1"/>
        <rFont val="Calibri"/>
        <family val="2"/>
        <scheme val="minor"/>
      </rPr>
      <t>Anexo IV</t>
    </r>
    <r>
      <rPr>
        <sz val="6"/>
        <color theme="1"/>
        <rFont val="Calibri"/>
        <family val="2"/>
        <scheme val="minor"/>
      </rPr>
      <t xml:space="preserve"> (Projetos de Convênios/obras e Aquisições de Veículos, Maquinas e equipamentos) </t>
    </r>
  </si>
  <si>
    <t xml:space="preserve">IPTU /2022 </t>
  </si>
  <si>
    <t>Cfme Lei Bº 2543 de 17/12/2009</t>
  </si>
  <si>
    <t xml:space="preserve">Aumento permanente na quantidade Cadastros e Atualização da Planta de valores. </t>
  </si>
  <si>
    <t>REFIS/2022</t>
  </si>
  <si>
    <t xml:space="preserve"> Acréscimo nos anos seguintes em 3,25% Média de Inflação estimada para o Período e Despacho da Administração sobre a compensação.</t>
  </si>
  <si>
    <t>Fonte: correiobraziliense.com.br/economia/2021/09/4949851-salario-minimo-deve-subir-para-rs-1-192-em-2022-teto-do-inss-a-rs-6.html</t>
  </si>
  <si>
    <t xml:space="preserve">Salário mínimo deve subir para R$ 1.192 em 2022; e teto do INSS a R$ 6.973 INPC deve fechar o ano em 8,4%, podendo pressionar ainda mais o Orçamento de 2022, já que o governo </t>
  </si>
  <si>
    <t>considerou a inflação em 6,2%. Novo valor compensaria a inflação, sem representar ganho real para o trabalhador</t>
  </si>
  <si>
    <t>Aumento do Salário Mínimo que possa gerar impacto nas despesas com pessoal. De 1.100,00 para 1.192,00 em 2.022 - 160 Servidores em Out/2021.</t>
  </si>
  <si>
    <t>Acréscimo Salarial do Magistério Municipal de 31,3% BT n° 149/2021-DPM de 4/Out/21.</t>
  </si>
  <si>
    <t>Reposição Salarial dos Demais Servidores (Recuperação da inflação dos anos 2020 e 2021) para 2022</t>
  </si>
  <si>
    <t>Cedência de Servidores c/ ônus ao Município</t>
  </si>
  <si>
    <t>Giovani Amestoy da Silva                      Ihoko Nakashima Mota                                  Arlei Lopes Souza</t>
  </si>
</sst>
</file>

<file path=xl/styles.xml><?xml version="1.0" encoding="utf-8"?>
<styleSheet xmlns="http://schemas.openxmlformats.org/spreadsheetml/2006/main">
  <numFmts count="10"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0.000%"/>
    <numFmt numFmtId="168" formatCode="0.0000%"/>
    <numFmt numFmtId="169" formatCode="_(* #,##0.0000_);_(* \(#,##0.0000\);_(* &quot;-&quot;??_);_(@_)"/>
    <numFmt numFmtId="170" formatCode="_(\ #,##0.00_);_(\ \-#,##0.00_);_(\ \-\ ??_);_(@_)"/>
    <numFmt numFmtId="171" formatCode="#,##0.00_ ;\-#,##0.00\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8"/>
      <name val="Arial"/>
      <family val="2"/>
    </font>
    <font>
      <b/>
      <sz val="6"/>
      <name val="Times New Roman"/>
      <family val="1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u/>
      <sz val="8"/>
      <name val="Times New Roman"/>
      <family val="1"/>
    </font>
    <font>
      <b/>
      <u/>
      <sz val="10"/>
      <name val="Arial"/>
    </font>
    <font>
      <b/>
      <sz val="12"/>
      <name val="Times New Roman"/>
      <family val="1"/>
    </font>
    <font>
      <b/>
      <sz val="10"/>
      <name val="Arial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7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Arial"/>
    </font>
    <font>
      <sz val="8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6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b/>
      <sz val="6"/>
      <color theme="1"/>
      <name val="Calibri"/>
      <family val="2"/>
      <scheme val="minor"/>
    </font>
    <font>
      <sz val="8"/>
      <color indexed="63"/>
      <name val="Times New Roman"/>
      <family val="1"/>
    </font>
    <font>
      <sz val="6"/>
      <name val="Calibri"/>
      <family val="2"/>
      <scheme val="minor"/>
    </font>
    <font>
      <sz val="6"/>
      <color rgb="FFFF0000"/>
      <name val="Calibri"/>
      <family val="2"/>
      <scheme val="minor"/>
    </font>
    <font>
      <sz val="6"/>
      <color rgb="FF00B050"/>
      <name val="Calibri"/>
      <family val="2"/>
      <scheme val="minor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7">
    <xf numFmtId="0" fontId="0" fillId="0" borderId="0" xfId="0"/>
    <xf numFmtId="0" fontId="2" fillId="0" borderId="0" xfId="0" applyNumberFormat="1" applyFont="1" applyFill="1" applyAlignment="1"/>
    <xf numFmtId="0" fontId="3" fillId="0" borderId="6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66" fontId="3" fillId="0" borderId="12" xfId="1" applyNumberFormat="1" applyFont="1" applyFill="1" applyBorder="1" applyAlignment="1">
      <alignment wrapText="1"/>
    </xf>
    <xf numFmtId="167" fontId="4" fillId="0" borderId="12" xfId="2" applyNumberFormat="1" applyFont="1" applyFill="1" applyBorder="1" applyAlignment="1">
      <alignment wrapText="1"/>
    </xf>
    <xf numFmtId="166" fontId="3" fillId="0" borderId="12" xfId="0" applyNumberFormat="1" applyFont="1" applyFill="1" applyBorder="1" applyAlignment="1">
      <alignment vertical="top" wrapText="1"/>
    </xf>
    <xf numFmtId="168" fontId="4" fillId="0" borderId="12" xfId="2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6" fontId="3" fillId="0" borderId="14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5" fillId="0" borderId="0" xfId="1" applyNumberFormat="1" applyFont="1"/>
    <xf numFmtId="0" fontId="5" fillId="0" borderId="0" xfId="0" applyFont="1" applyAlignment="1">
      <alignment horizontal="left"/>
    </xf>
    <xf numFmtId="164" fontId="4" fillId="0" borderId="7" xfId="0" applyNumberFormat="1" applyFont="1" applyFill="1" applyBorder="1" applyAlignment="1">
      <alignment horizontal="right" wrapText="1"/>
    </xf>
    <xf numFmtId="165" fontId="4" fillId="0" borderId="9" xfId="0" applyNumberFormat="1" applyFont="1" applyFill="1" applyBorder="1" applyAlignment="1">
      <alignment wrapText="1"/>
    </xf>
    <xf numFmtId="10" fontId="4" fillId="0" borderId="12" xfId="2" applyNumberFormat="1" applyFont="1" applyFill="1" applyBorder="1" applyAlignment="1">
      <alignment wrapText="1"/>
    </xf>
    <xf numFmtId="166" fontId="4" fillId="0" borderId="12" xfId="0" applyNumberFormat="1" applyFont="1" applyFill="1" applyBorder="1" applyAlignment="1">
      <alignment wrapText="1"/>
    </xf>
    <xf numFmtId="166" fontId="4" fillId="0" borderId="13" xfId="0" applyNumberFormat="1" applyFont="1" applyFill="1" applyBorder="1" applyAlignment="1">
      <alignment wrapText="1"/>
    </xf>
    <xf numFmtId="166" fontId="4" fillId="0" borderId="15" xfId="0" applyNumberFormat="1" applyFont="1" applyFill="1" applyBorder="1" applyAlignment="1">
      <alignment wrapText="1"/>
    </xf>
    <xf numFmtId="10" fontId="4" fillId="0" borderId="14" xfId="2" applyNumberFormat="1" applyFont="1" applyFill="1" applyBorder="1" applyAlignment="1">
      <alignment wrapText="1"/>
    </xf>
    <xf numFmtId="165" fontId="4" fillId="0" borderId="14" xfId="1" applyNumberFormat="1" applyFont="1" applyFill="1" applyBorder="1" applyAlignment="1">
      <alignment wrapText="1"/>
    </xf>
    <xf numFmtId="166" fontId="4" fillId="0" borderId="14" xfId="1" applyNumberFormat="1" applyFont="1" applyFill="1" applyBorder="1" applyAlignment="1">
      <alignment wrapText="1"/>
    </xf>
    <xf numFmtId="165" fontId="4" fillId="0" borderId="12" xfId="0" applyNumberFormat="1" applyFont="1" applyFill="1" applyBorder="1" applyAlignment="1">
      <alignment wrapText="1"/>
    </xf>
    <xf numFmtId="166" fontId="4" fillId="0" borderId="12" xfId="1" applyNumberFormat="1" applyFont="1" applyFill="1" applyBorder="1" applyAlignment="1">
      <alignment wrapText="1"/>
    </xf>
    <xf numFmtId="165" fontId="5" fillId="0" borderId="0" xfId="1" applyNumberFormat="1" applyFont="1"/>
    <xf numFmtId="0" fontId="3" fillId="0" borderId="12" xfId="0" applyFont="1" applyFill="1" applyBorder="1" applyAlignment="1">
      <alignment wrapText="1"/>
    </xf>
    <xf numFmtId="9" fontId="4" fillId="0" borderId="14" xfId="2" applyFont="1" applyFill="1" applyBorder="1" applyAlignment="1">
      <alignment wrapText="1"/>
    </xf>
    <xf numFmtId="165" fontId="4" fillId="0" borderId="12" xfId="1" applyNumberFormat="1" applyFont="1" applyFill="1" applyBorder="1" applyAlignment="1">
      <alignment wrapText="1"/>
    </xf>
    <xf numFmtId="166" fontId="4" fillId="0" borderId="14" xfId="0" applyNumberFormat="1" applyFont="1" applyFill="1" applyBorder="1" applyAlignment="1">
      <alignment wrapText="1"/>
    </xf>
    <xf numFmtId="165" fontId="4" fillId="0" borderId="14" xfId="0" applyNumberFormat="1" applyFont="1" applyFill="1" applyBorder="1" applyAlignment="1">
      <alignment wrapText="1"/>
    </xf>
    <xf numFmtId="166" fontId="0" fillId="0" borderId="0" xfId="0" applyNumberFormat="1"/>
    <xf numFmtId="0" fontId="4" fillId="0" borderId="20" xfId="0" applyFont="1" applyFill="1" applyBorder="1" applyAlignment="1">
      <alignment horizontal="center" vertical="center"/>
    </xf>
    <xf numFmtId="9" fontId="4" fillId="0" borderId="12" xfId="2" applyFont="1" applyFill="1" applyBorder="1" applyAlignment="1">
      <alignment wrapText="1"/>
    </xf>
    <xf numFmtId="0" fontId="10" fillId="0" borderId="0" xfId="0" applyFont="1"/>
    <xf numFmtId="0" fontId="5" fillId="0" borderId="0" xfId="0" applyFont="1"/>
    <xf numFmtId="0" fontId="4" fillId="0" borderId="0" xfId="0" applyNumberFormat="1" applyFont="1" applyFill="1" applyBorder="1" applyAlignment="1"/>
    <xf numFmtId="0" fontId="7" fillId="0" borderId="0" xfId="0" applyFont="1"/>
    <xf numFmtId="164" fontId="4" fillId="0" borderId="0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/>
    <xf numFmtId="0" fontId="4" fillId="0" borderId="2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4" fillId="0" borderId="22" xfId="1" applyNumberFormat="1" applyFont="1" applyFill="1" applyBorder="1" applyAlignment="1">
      <alignment vertical="top"/>
    </xf>
    <xf numFmtId="2" fontId="4" fillId="0" borderId="9" xfId="0" applyNumberFormat="1" applyFont="1" applyFill="1" applyBorder="1" applyAlignment="1">
      <alignment horizontal="center" vertical="top"/>
    </xf>
    <xf numFmtId="165" fontId="4" fillId="0" borderId="16" xfId="1" applyNumberFormat="1" applyFont="1" applyFill="1" applyBorder="1" applyAlignment="1">
      <alignment vertical="top"/>
    </xf>
    <xf numFmtId="2" fontId="4" fillId="0" borderId="22" xfId="0" applyNumberFormat="1" applyFont="1" applyFill="1" applyBorder="1" applyAlignment="1">
      <alignment horizontal="center" vertical="top"/>
    </xf>
    <xf numFmtId="165" fontId="4" fillId="0" borderId="9" xfId="1" applyNumberFormat="1" applyFont="1" applyFill="1" applyBorder="1" applyAlignment="1">
      <alignment vertical="top"/>
    </xf>
    <xf numFmtId="2" fontId="4" fillId="0" borderId="8" xfId="0" applyNumberFormat="1" applyFont="1" applyFill="1" applyBorder="1" applyAlignment="1">
      <alignment horizontal="center" vertical="top"/>
    </xf>
    <xf numFmtId="165" fontId="4" fillId="0" borderId="21" xfId="0" applyNumberFormat="1" applyFont="1" applyFill="1" applyBorder="1" applyAlignment="1"/>
    <xf numFmtId="2" fontId="4" fillId="0" borderId="13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/>
    <xf numFmtId="2" fontId="4" fillId="0" borderId="21" xfId="0" applyNumberFormat="1" applyFont="1" applyFill="1" applyBorder="1" applyAlignment="1">
      <alignment horizontal="center" vertical="top"/>
    </xf>
    <xf numFmtId="165" fontId="4" fillId="0" borderId="21" xfId="1" applyNumberFormat="1" applyFont="1" applyFill="1" applyBorder="1" applyAlignment="1">
      <alignment vertical="top"/>
    </xf>
    <xf numFmtId="165" fontId="4" fillId="0" borderId="13" xfId="1" applyNumberFormat="1" applyFont="1" applyFill="1" applyBorder="1" applyAlignment="1">
      <alignment vertical="top"/>
    </xf>
    <xf numFmtId="2" fontId="4" fillId="0" borderId="12" xfId="0" applyNumberFormat="1" applyFont="1" applyFill="1" applyBorder="1" applyAlignment="1">
      <alignment horizontal="center" vertical="top"/>
    </xf>
    <xf numFmtId="165" fontId="5" fillId="0" borderId="0" xfId="0" applyNumberFormat="1" applyFont="1"/>
    <xf numFmtId="165" fontId="4" fillId="0" borderId="21" xfId="1" applyNumberFormat="1" applyFont="1" applyFill="1" applyBorder="1" applyAlignment="1"/>
    <xf numFmtId="165" fontId="4" fillId="0" borderId="0" xfId="1" applyNumberFormat="1" applyFont="1" applyFill="1" applyBorder="1" applyAlignment="1"/>
    <xf numFmtId="1" fontId="4" fillId="0" borderId="13" xfId="0" applyNumberFormat="1" applyFont="1" applyFill="1" applyBorder="1" applyAlignment="1">
      <alignment horizontal="center" vertical="top"/>
    </xf>
    <xf numFmtId="165" fontId="4" fillId="0" borderId="23" xfId="1" applyNumberFormat="1" applyFont="1" applyFill="1" applyBorder="1" applyAlignment="1"/>
    <xf numFmtId="2" fontId="4" fillId="0" borderId="15" xfId="0" applyNumberFormat="1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vertical="top"/>
    </xf>
    <xf numFmtId="165" fontId="4" fillId="0" borderId="8" xfId="1" applyNumberFormat="1" applyFont="1" applyFill="1" applyBorder="1" applyAlignment="1">
      <alignment vertical="top"/>
    </xf>
    <xf numFmtId="165" fontId="4" fillId="0" borderId="13" xfId="0" applyNumberFormat="1" applyFont="1" applyFill="1" applyBorder="1" applyAlignment="1">
      <alignment vertical="top"/>
    </xf>
    <xf numFmtId="165" fontId="4" fillId="0" borderId="12" xfId="0" applyNumberFormat="1" applyFont="1" applyFill="1" applyBorder="1" applyAlignment="1">
      <alignment vertical="top"/>
    </xf>
    <xf numFmtId="165" fontId="4" fillId="0" borderId="15" xfId="0" applyNumberFormat="1" applyFont="1" applyFill="1" applyBorder="1" applyAlignment="1">
      <alignment vertical="top"/>
    </xf>
    <xf numFmtId="165" fontId="4" fillId="0" borderId="14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Fill="1" applyAlignment="1"/>
    <xf numFmtId="0" fontId="4" fillId="0" borderId="7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165" fontId="3" fillId="0" borderId="0" xfId="1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65" fontId="3" fillId="0" borderId="19" xfId="1" applyNumberFormat="1" applyFont="1" applyFill="1" applyBorder="1" applyAlignment="1">
      <alignment vertical="top" wrapText="1"/>
    </xf>
    <xf numFmtId="165" fontId="3" fillId="0" borderId="19" xfId="0" applyNumberFormat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4" fillId="0" borderId="12" xfId="0" applyFont="1" applyFill="1" applyBorder="1" applyAlignment="1">
      <alignment horizontal="justify" vertical="top" wrapText="1"/>
    </xf>
    <xf numFmtId="165" fontId="4" fillId="0" borderId="12" xfId="1" applyNumberFormat="1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165" fontId="7" fillId="0" borderId="0" xfId="1" applyNumberFormat="1" applyFont="1"/>
    <xf numFmtId="0" fontId="4" fillId="0" borderId="14" xfId="0" applyFont="1" applyFill="1" applyBorder="1" applyAlignment="1">
      <alignment horizontal="justify" vertical="top" wrapText="1"/>
    </xf>
    <xf numFmtId="165" fontId="4" fillId="0" borderId="14" xfId="1" applyNumberFormat="1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165" fontId="4" fillId="0" borderId="14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165" fontId="4" fillId="0" borderId="0" xfId="1" applyNumberFormat="1" applyFont="1" applyFill="1" applyAlignment="1">
      <alignment horizontal="justify" vertical="top" wrapText="1"/>
    </xf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64" fontId="4" fillId="0" borderId="24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/>
    </xf>
    <xf numFmtId="0" fontId="4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horizontal="right" vertical="top" wrapText="1"/>
    </xf>
    <xf numFmtId="165" fontId="3" fillId="0" borderId="9" xfId="1" applyNumberFormat="1" applyFont="1" applyFill="1" applyBorder="1" applyAlignment="1">
      <alignment vertical="top" wrapText="1"/>
    </xf>
    <xf numFmtId="166" fontId="3" fillId="0" borderId="9" xfId="1" applyNumberFormat="1" applyFont="1" applyFill="1" applyBorder="1" applyAlignment="1">
      <alignment vertical="top" wrapText="1"/>
    </xf>
    <xf numFmtId="165" fontId="3" fillId="0" borderId="22" xfId="1" applyNumberFormat="1" applyFont="1" applyFill="1" applyBorder="1" applyAlignment="1">
      <alignment vertical="top" wrapText="1"/>
    </xf>
    <xf numFmtId="165" fontId="3" fillId="0" borderId="13" xfId="1" applyNumberFormat="1" applyFont="1" applyFill="1" applyBorder="1" applyAlignment="1">
      <alignment vertical="top" wrapText="1"/>
    </xf>
    <xf numFmtId="166" fontId="3" fillId="0" borderId="13" xfId="1" applyNumberFormat="1" applyFont="1" applyFill="1" applyBorder="1" applyAlignment="1">
      <alignment vertical="top" wrapText="1"/>
    </xf>
    <xf numFmtId="166" fontId="3" fillId="0" borderId="21" xfId="1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6" fontId="3" fillId="0" borderId="0" xfId="0" applyNumberFormat="1" applyFont="1" applyFill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6" fontId="15" fillId="0" borderId="12" xfId="1" applyNumberFormat="1" applyFont="1" applyFill="1" applyBorder="1" applyAlignment="1">
      <alignment vertical="top" wrapText="1"/>
    </xf>
    <xf numFmtId="166" fontId="15" fillId="0" borderId="0" xfId="1" applyNumberFormat="1" applyFont="1" applyFill="1" applyAlignment="1">
      <alignment vertical="top" wrapText="1"/>
    </xf>
    <xf numFmtId="0" fontId="16" fillId="0" borderId="0" xfId="0" applyFont="1"/>
    <xf numFmtId="166" fontId="3" fillId="0" borderId="12" xfId="1" applyNumberFormat="1" applyFont="1" applyFill="1" applyBorder="1" applyAlignment="1">
      <alignment vertical="top" wrapText="1"/>
    </xf>
    <xf numFmtId="166" fontId="3" fillId="0" borderId="0" xfId="1" applyNumberFormat="1" applyFont="1" applyFill="1" applyAlignment="1">
      <alignment vertical="top" wrapText="1"/>
    </xf>
    <xf numFmtId="165" fontId="3" fillId="0" borderId="12" xfId="1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vertical="center" wrapText="1"/>
    </xf>
    <xf numFmtId="166" fontId="3" fillId="0" borderId="2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/>
    <xf numFmtId="0" fontId="17" fillId="0" borderId="0" xfId="0" applyFont="1"/>
    <xf numFmtId="0" fontId="6" fillId="0" borderId="12" xfId="0" applyFont="1" applyFill="1" applyBorder="1" applyAlignment="1">
      <alignment wrapText="1"/>
    </xf>
    <xf numFmtId="4" fontId="17" fillId="0" borderId="0" xfId="0" applyNumberFormat="1" applyFont="1"/>
    <xf numFmtId="0" fontId="18" fillId="0" borderId="0" xfId="0" applyFont="1"/>
    <xf numFmtId="4" fontId="19" fillId="0" borderId="25" xfId="0" applyNumberFormat="1" applyFont="1" applyFill="1" applyBorder="1" applyAlignment="1">
      <alignment horizontal="right" vertical="center"/>
    </xf>
    <xf numFmtId="4" fontId="19" fillId="0" borderId="26" xfId="0" applyNumberFormat="1" applyFont="1" applyFill="1" applyBorder="1" applyAlignment="1">
      <alignment vertical="center"/>
    </xf>
    <xf numFmtId="10" fontId="5" fillId="0" borderId="0" xfId="0" applyNumberFormat="1" applyFont="1"/>
    <xf numFmtId="0" fontId="20" fillId="0" borderId="0" xfId="0" applyNumberFormat="1" applyFont="1" applyFill="1" applyBorder="1" applyAlignment="1"/>
    <xf numFmtId="43" fontId="4" fillId="0" borderId="0" xfId="1" applyFont="1" applyFill="1" applyBorder="1" applyAlignment="1"/>
    <xf numFmtId="43" fontId="4" fillId="0" borderId="19" xfId="1" applyFont="1" applyFill="1" applyBorder="1" applyAlignment="1"/>
    <xf numFmtId="165" fontId="4" fillId="2" borderId="21" xfId="0" applyNumberFormat="1" applyFont="1" applyFill="1" applyBorder="1" applyAlignment="1"/>
    <xf numFmtId="0" fontId="4" fillId="2" borderId="21" xfId="0" applyNumberFormat="1" applyFont="1" applyFill="1" applyBorder="1" applyAlignment="1"/>
    <xf numFmtId="0" fontId="4" fillId="2" borderId="23" xfId="0" applyNumberFormat="1" applyFont="1" applyFill="1" applyBorder="1" applyAlignment="1"/>
    <xf numFmtId="165" fontId="4" fillId="2" borderId="13" xfId="1" applyNumberFormat="1" applyFont="1" applyFill="1" applyBorder="1" applyAlignment="1">
      <alignment vertical="top"/>
    </xf>
    <xf numFmtId="165" fontId="4" fillId="0" borderId="13" xfId="0" applyNumberFormat="1" applyFont="1" applyFill="1" applyBorder="1" applyAlignment="1"/>
    <xf numFmtId="165" fontId="4" fillId="2" borderId="15" xfId="1" applyNumberFormat="1" applyFont="1" applyFill="1" applyBorder="1" applyAlignment="1">
      <alignment vertical="top"/>
    </xf>
    <xf numFmtId="165" fontId="4" fillId="2" borderId="12" xfId="0" applyNumberFormat="1" applyFont="1" applyFill="1" applyBorder="1" applyAlignment="1">
      <alignment vertical="top"/>
    </xf>
    <xf numFmtId="165" fontId="4" fillId="2" borderId="14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21" fillId="0" borderId="0" xfId="0" applyFont="1"/>
    <xf numFmtId="43" fontId="0" fillId="0" borderId="0" xfId="0" applyNumberFormat="1"/>
    <xf numFmtId="164" fontId="4" fillId="0" borderId="7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9" fontId="10" fillId="0" borderId="0" xfId="1" applyNumberFormat="1" applyFont="1"/>
    <xf numFmtId="165" fontId="10" fillId="0" borderId="0" xfId="1" applyNumberFormat="1" applyFont="1"/>
    <xf numFmtId="166" fontId="10" fillId="0" borderId="0" xfId="1" applyNumberFormat="1" applyFont="1"/>
    <xf numFmtId="165" fontId="17" fillId="0" borderId="0" xfId="0" applyNumberFormat="1" applyFont="1"/>
    <xf numFmtId="0" fontId="4" fillId="0" borderId="16" xfId="0" applyFont="1" applyFill="1" applyBorder="1" applyAlignment="1">
      <alignment wrapText="1"/>
    </xf>
    <xf numFmtId="165" fontId="4" fillId="0" borderId="16" xfId="1" applyNumberFormat="1" applyFont="1" applyFill="1" applyBorder="1" applyAlignment="1">
      <alignment wrapText="1"/>
    </xf>
    <xf numFmtId="166" fontId="4" fillId="0" borderId="16" xfId="1" applyNumberFormat="1" applyFont="1" applyFill="1" applyBorder="1" applyAlignment="1">
      <alignment wrapText="1"/>
    </xf>
    <xf numFmtId="165" fontId="5" fillId="0" borderId="0" xfId="1" applyNumberFormat="1" applyFont="1" applyBorder="1"/>
    <xf numFmtId="166" fontId="17" fillId="0" borderId="0" xfId="0" applyNumberFormat="1" applyFont="1"/>
    <xf numFmtId="165" fontId="10" fillId="0" borderId="0" xfId="0" applyNumberFormat="1" applyFont="1" applyBorder="1"/>
    <xf numFmtId="0" fontId="10" fillId="0" borderId="0" xfId="0" applyFont="1" applyBorder="1"/>
    <xf numFmtId="0" fontId="4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5" fontId="17" fillId="0" borderId="0" xfId="1" applyNumberFormat="1" applyFont="1"/>
    <xf numFmtId="43" fontId="4" fillId="0" borderId="12" xfId="1" applyFont="1" applyFill="1" applyBorder="1" applyAlignment="1">
      <alignment wrapText="1"/>
    </xf>
    <xf numFmtId="43" fontId="4" fillId="0" borderId="14" xfId="1" applyFont="1" applyFill="1" applyBorder="1" applyAlignment="1">
      <alignment wrapText="1"/>
    </xf>
    <xf numFmtId="43" fontId="17" fillId="0" borderId="0" xfId="1" applyFont="1"/>
    <xf numFmtId="0" fontId="5" fillId="0" borderId="0" xfId="0" applyFont="1" applyAlignment="1">
      <alignment horizontal="left"/>
    </xf>
    <xf numFmtId="43" fontId="17" fillId="0" borderId="0" xfId="0" applyNumberFormat="1" applyFont="1"/>
    <xf numFmtId="43" fontId="23" fillId="0" borderId="16" xfId="1" applyFont="1" applyFill="1" applyBorder="1" applyAlignment="1">
      <alignment wrapText="1"/>
    </xf>
    <xf numFmtId="166" fontId="10" fillId="0" borderId="0" xfId="0" applyNumberFormat="1" applyFont="1"/>
    <xf numFmtId="43" fontId="5" fillId="0" borderId="14" xfId="1" applyFont="1" applyBorder="1" applyProtection="1">
      <protection hidden="1"/>
    </xf>
    <xf numFmtId="1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wrapText="1"/>
    </xf>
    <xf numFmtId="43" fontId="10" fillId="0" borderId="0" xfId="1" applyFont="1"/>
    <xf numFmtId="0" fontId="4" fillId="0" borderId="0" xfId="0" applyFont="1" applyFill="1" applyBorder="1" applyAlignment="1">
      <alignment horizontal="right"/>
    </xf>
    <xf numFmtId="43" fontId="10" fillId="0" borderId="0" xfId="0" applyNumberFormat="1" applyFont="1"/>
    <xf numFmtId="0" fontId="2" fillId="0" borderId="2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20" xfId="0" applyFont="1" applyBorder="1"/>
    <xf numFmtId="0" fontId="24" fillId="0" borderId="20" xfId="0" applyFont="1" applyBorder="1" applyAlignment="1">
      <alignment horizontal="center"/>
    </xf>
    <xf numFmtId="0" fontId="25" fillId="0" borderId="20" xfId="0" applyFont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wrapText="1"/>
    </xf>
    <xf numFmtId="10" fontId="7" fillId="0" borderId="0" xfId="2" applyNumberFormat="1" applyFont="1"/>
    <xf numFmtId="43" fontId="25" fillId="0" borderId="20" xfId="1" applyFont="1" applyBorder="1"/>
    <xf numFmtId="43" fontId="24" fillId="0" borderId="20" xfId="0" applyNumberFormat="1" applyFont="1" applyBorder="1"/>
    <xf numFmtId="0" fontId="27" fillId="0" borderId="0" xfId="0" applyFont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29" fillId="3" borderId="25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0" fillId="0" borderId="34" xfId="0" applyBorder="1"/>
    <xf numFmtId="4" fontId="28" fillId="0" borderId="36" xfId="0" applyNumberFormat="1" applyFont="1" applyFill="1" applyBorder="1" applyAlignment="1">
      <alignment horizontal="right" vertical="center" wrapText="1"/>
    </xf>
    <xf numFmtId="4" fontId="28" fillId="0" borderId="37" xfId="0" applyNumberFormat="1" applyFont="1" applyFill="1" applyBorder="1" applyAlignment="1">
      <alignment horizontal="right" vertical="center" wrapText="1"/>
    </xf>
    <xf numFmtId="4" fontId="28" fillId="0" borderId="39" xfId="0" applyNumberFormat="1" applyFont="1" applyFill="1" applyBorder="1" applyAlignment="1">
      <alignment horizontal="right" vertical="center" wrapText="1"/>
    </xf>
    <xf numFmtId="4" fontId="28" fillId="0" borderId="40" xfId="0" applyNumberFormat="1" applyFont="1" applyFill="1" applyBorder="1" applyAlignment="1">
      <alignment horizontal="right" vertical="center" wrapText="1"/>
    </xf>
    <xf numFmtId="4" fontId="28" fillId="0" borderId="42" xfId="0" applyNumberFormat="1" applyFont="1" applyFill="1" applyBorder="1" applyAlignment="1">
      <alignment horizontal="right" vertical="center" wrapText="1"/>
    </xf>
    <xf numFmtId="4" fontId="28" fillId="0" borderId="43" xfId="0" applyNumberFormat="1" applyFont="1" applyFill="1" applyBorder="1" applyAlignment="1">
      <alignment horizontal="right" vertical="center" wrapText="1"/>
    </xf>
    <xf numFmtId="4" fontId="29" fillId="3" borderId="25" xfId="0" applyNumberFormat="1" applyFont="1" applyFill="1" applyBorder="1" applyAlignment="1">
      <alignment horizontal="right" vertical="center"/>
    </xf>
    <xf numFmtId="4" fontId="29" fillId="3" borderId="26" xfId="0" applyNumberFormat="1" applyFont="1" applyFill="1" applyBorder="1" applyAlignment="1">
      <alignment horizontal="right" vertical="center"/>
    </xf>
    <xf numFmtId="0" fontId="0" fillId="0" borderId="32" xfId="0" applyBorder="1"/>
    <xf numFmtId="0" fontId="28" fillId="0" borderId="36" xfId="0" applyFont="1" applyFill="1" applyBorder="1" applyAlignment="1">
      <alignment horizontal="right" vertical="center" wrapText="1"/>
    </xf>
    <xf numFmtId="0" fontId="28" fillId="0" borderId="37" xfId="0" applyFont="1" applyFill="1" applyBorder="1" applyAlignment="1">
      <alignment horizontal="right" vertical="center" wrapText="1"/>
    </xf>
    <xf numFmtId="0" fontId="28" fillId="0" borderId="39" xfId="0" applyFont="1" applyFill="1" applyBorder="1" applyAlignment="1">
      <alignment horizontal="right" vertical="center" wrapText="1"/>
    </xf>
    <xf numFmtId="0" fontId="28" fillId="0" borderId="40" xfId="0" applyFont="1" applyFill="1" applyBorder="1" applyAlignment="1">
      <alignment horizontal="right" vertical="center" wrapText="1"/>
    </xf>
    <xf numFmtId="0" fontId="28" fillId="0" borderId="42" xfId="0" applyFont="1" applyFill="1" applyBorder="1" applyAlignment="1">
      <alignment horizontal="right" vertical="center" wrapText="1"/>
    </xf>
    <xf numFmtId="0" fontId="28" fillId="0" borderId="43" xfId="0" applyFont="1" applyFill="1" applyBorder="1" applyAlignment="1">
      <alignment horizontal="right"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28" fillId="0" borderId="2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21" fillId="0" borderId="0" xfId="0" applyNumberFormat="1" applyFont="1" applyAlignment="1"/>
    <xf numFmtId="0" fontId="31" fillId="0" borderId="0" xfId="0" applyNumberFormat="1" applyFont="1" applyAlignment="1"/>
    <xf numFmtId="0" fontId="0" fillId="0" borderId="0" xfId="0" applyAlignment="1"/>
    <xf numFmtId="0" fontId="32" fillId="0" borderId="0" xfId="0" applyNumberFormat="1" applyFont="1" applyAlignment="1">
      <alignment vertical="center"/>
    </xf>
    <xf numFmtId="0" fontId="18" fillId="4" borderId="0" xfId="0" applyNumberFormat="1" applyFont="1" applyFill="1" applyAlignment="1"/>
    <xf numFmtId="0" fontId="17" fillId="0" borderId="0" xfId="0" applyNumberFormat="1" applyFont="1" applyAlignment="1">
      <alignment vertical="center"/>
    </xf>
    <xf numFmtId="0" fontId="31" fillId="4" borderId="0" xfId="0" applyNumberFormat="1" applyFont="1" applyFill="1" applyAlignment="1"/>
    <xf numFmtId="0" fontId="30" fillId="0" borderId="0" xfId="0" applyFont="1"/>
    <xf numFmtId="49" fontId="26" fillId="5" borderId="10" xfId="0" applyNumberFormat="1" applyFont="1" applyFill="1" applyBorder="1" applyAlignment="1">
      <alignment horizontal="center"/>
    </xf>
    <xf numFmtId="170" fontId="21" fillId="0" borderId="20" xfId="0" quotePrefix="1" applyNumberFormat="1" applyFont="1" applyBorder="1" applyAlignment="1">
      <alignment horizontal="left"/>
    </xf>
    <xf numFmtId="170" fontId="21" fillId="0" borderId="20" xfId="0" applyNumberFormat="1" applyFont="1" applyBorder="1" applyAlignment="1">
      <alignment horizontal="left"/>
    </xf>
    <xf numFmtId="170" fontId="21" fillId="0" borderId="20" xfId="0" applyNumberFormat="1" applyFont="1" applyBorder="1" applyAlignment="1">
      <alignment horizontal="right"/>
    </xf>
    <xf numFmtId="170" fontId="30" fillId="0" borderId="0" xfId="0" applyNumberFormat="1" applyFont="1"/>
    <xf numFmtId="170" fontId="17" fillId="0" borderId="20" xfId="0" quotePrefix="1" applyNumberFormat="1" applyFont="1" applyBorder="1" applyAlignment="1">
      <alignment horizontal="left"/>
    </xf>
    <xf numFmtId="0" fontId="0" fillId="0" borderId="10" xfId="0" applyBorder="1"/>
    <xf numFmtId="170" fontId="21" fillId="0" borderId="18" xfId="0" applyNumberFormat="1" applyFont="1" applyFill="1" applyBorder="1" applyAlignment="1">
      <alignment horizontal="left"/>
    </xf>
    <xf numFmtId="171" fontId="0" fillId="0" borderId="20" xfId="0" applyNumberFormat="1" applyBorder="1"/>
    <xf numFmtId="170" fontId="21" fillId="0" borderId="0" xfId="0" applyNumberFormat="1" applyFont="1" applyFill="1" applyBorder="1" applyAlignment="1">
      <alignment horizontal="left"/>
    </xf>
    <xf numFmtId="43" fontId="0" fillId="0" borderId="0" xfId="1" applyFont="1"/>
    <xf numFmtId="0" fontId="21" fillId="0" borderId="0" xfId="0" applyNumberFormat="1" applyFont="1" applyAlignment="1">
      <alignment horizontal="center"/>
    </xf>
    <xf numFmtId="0" fontId="31" fillId="4" borderId="0" xfId="0" applyNumberFormat="1" applyFont="1" applyFill="1" applyAlignment="1">
      <alignment horizontal="right"/>
    </xf>
    <xf numFmtId="0" fontId="0" fillId="0" borderId="18" xfId="0" applyBorder="1"/>
    <xf numFmtId="0" fontId="31" fillId="0" borderId="18" xfId="0" applyFont="1" applyBorder="1" applyAlignment="1">
      <alignment horizontal="right"/>
    </xf>
    <xf numFmtId="43" fontId="0" fillId="0" borderId="18" xfId="1" applyFont="1" applyBorder="1"/>
    <xf numFmtId="10" fontId="0" fillId="0" borderId="18" xfId="2" applyNumberFormat="1" applyFont="1" applyBorder="1"/>
    <xf numFmtId="0" fontId="1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10" xfId="0" applyFont="1" applyBorder="1"/>
    <xf numFmtId="0" fontId="18" fillId="0" borderId="11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17" fillId="0" borderId="9" xfId="0" applyFont="1" applyBorder="1"/>
    <xf numFmtId="0" fontId="8" fillId="0" borderId="1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5" fillId="0" borderId="13" xfId="0" applyFont="1" applyBorder="1"/>
    <xf numFmtId="165" fontId="8" fillId="0" borderId="9" xfId="1" applyNumberFormat="1" applyFont="1" applyBorder="1"/>
    <xf numFmtId="0" fontId="5" fillId="0" borderId="13" xfId="0" quotePrefix="1" applyFont="1" applyBorder="1"/>
    <xf numFmtId="165" fontId="8" fillId="0" borderId="13" xfId="1" applyNumberFormat="1" applyFont="1" applyBorder="1"/>
    <xf numFmtId="165" fontId="5" fillId="0" borderId="13" xfId="1" applyNumberFormat="1" applyFont="1" applyBorder="1"/>
    <xf numFmtId="0" fontId="7" fillId="0" borderId="13" xfId="0" quotePrefix="1" applyFont="1" applyBorder="1"/>
    <xf numFmtId="165" fontId="33" fillId="0" borderId="13" xfId="1" applyNumberFormat="1" applyFont="1" applyBorder="1"/>
    <xf numFmtId="0" fontId="34" fillId="0" borderId="0" xfId="0" applyFont="1"/>
    <xf numFmtId="0" fontId="7" fillId="0" borderId="13" xfId="0" applyFont="1" applyBorder="1"/>
    <xf numFmtId="0" fontId="7" fillId="0" borderId="15" xfId="0" applyFont="1" applyBorder="1"/>
    <xf numFmtId="165" fontId="33" fillId="0" borderId="15" xfId="1" applyNumberFormat="1" applyFont="1" applyBorder="1"/>
    <xf numFmtId="0" fontId="5" fillId="0" borderId="10" xfId="0" applyFont="1" applyBorder="1"/>
    <xf numFmtId="165" fontId="8" fillId="0" borderId="18" xfId="1" applyNumberFormat="1" applyFont="1" applyBorder="1"/>
    <xf numFmtId="165" fontId="5" fillId="0" borderId="20" xfId="1" applyNumberFormat="1" applyFont="1" applyBorder="1"/>
    <xf numFmtId="165" fontId="5" fillId="0" borderId="18" xfId="1" applyNumberFormat="1" applyFont="1" applyBorder="1"/>
    <xf numFmtId="165" fontId="5" fillId="0" borderId="10" xfId="1" applyNumberFormat="1" applyFont="1" applyBorder="1"/>
    <xf numFmtId="17" fontId="8" fillId="0" borderId="18" xfId="0" applyNumberFormat="1" applyFont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10" fontId="5" fillId="0" borderId="18" xfId="1" applyNumberFormat="1" applyFont="1" applyBorder="1" applyAlignment="1">
      <alignment horizontal="center"/>
    </xf>
    <xf numFmtId="0" fontId="35" fillId="0" borderId="0" xfId="0" applyFont="1"/>
    <xf numFmtId="9" fontId="36" fillId="0" borderId="20" xfId="0" applyNumberFormat="1" applyFont="1" applyBorder="1" applyAlignment="1">
      <alignment horizontal="center"/>
    </xf>
    <xf numFmtId="43" fontId="8" fillId="0" borderId="20" xfId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5" fillId="0" borderId="0" xfId="0" applyFont="1" applyProtection="1">
      <protection hidden="1"/>
    </xf>
    <xf numFmtId="0" fontId="37" fillId="0" borderId="0" xfId="0" applyFont="1" applyAlignment="1"/>
    <xf numFmtId="0" fontId="37" fillId="0" borderId="0" xfId="0" applyFont="1" applyAlignment="1" applyProtection="1">
      <alignment horizontal="center"/>
      <protection hidden="1"/>
    </xf>
    <xf numFmtId="0" fontId="7" fillId="0" borderId="0" xfId="0" applyFont="1" applyAlignment="1"/>
    <xf numFmtId="0" fontId="37" fillId="0" borderId="0" xfId="0" applyFont="1" applyAlignment="1">
      <alignment horizontal="center"/>
    </xf>
    <xf numFmtId="0" fontId="34" fillId="0" borderId="20" xfId="0" applyFont="1" applyBorder="1"/>
    <xf numFmtId="0" fontId="17" fillId="0" borderId="20" xfId="0" applyFont="1" applyBorder="1"/>
    <xf numFmtId="0" fontId="36" fillId="0" borderId="0" xfId="0" applyFont="1"/>
    <xf numFmtId="0" fontId="34" fillId="0" borderId="10" xfId="0" applyFont="1" applyBorder="1"/>
    <xf numFmtId="0" fontId="34" fillId="0" borderId="18" xfId="0" applyFont="1" applyBorder="1" applyAlignment="1"/>
    <xf numFmtId="0" fontId="34" fillId="0" borderId="18" xfId="0" applyFont="1" applyBorder="1"/>
    <xf numFmtId="0" fontId="34" fillId="0" borderId="20" xfId="0" applyFont="1" applyBorder="1" applyAlignment="1">
      <alignment horizontal="center"/>
    </xf>
    <xf numFmtId="0" fontId="34" fillId="0" borderId="16" xfId="0" applyFont="1" applyBorder="1"/>
    <xf numFmtId="0" fontId="34" fillId="0" borderId="9" xfId="0" applyFont="1" applyBorder="1"/>
    <xf numFmtId="0" fontId="34" fillId="0" borderId="15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left"/>
    </xf>
    <xf numFmtId="0" fontId="38" fillId="6" borderId="22" xfId="0" applyFont="1" applyFill="1" applyBorder="1"/>
    <xf numFmtId="0" fontId="38" fillId="6" borderId="9" xfId="0" applyFont="1" applyFill="1" applyBorder="1"/>
    <xf numFmtId="0" fontId="38" fillId="6" borderId="16" xfId="0" applyFont="1" applyFill="1" applyBorder="1"/>
    <xf numFmtId="0" fontId="38" fillId="6" borderId="9" xfId="0" quotePrefix="1" applyFont="1" applyFill="1" applyBorder="1" applyAlignment="1">
      <alignment horizontal="center"/>
    </xf>
    <xf numFmtId="43" fontId="38" fillId="6" borderId="16" xfId="1" applyFont="1" applyFill="1" applyBorder="1"/>
    <xf numFmtId="43" fontId="38" fillId="6" borderId="9" xfId="1" applyFont="1" applyFill="1" applyBorder="1"/>
    <xf numFmtId="0" fontId="38" fillId="6" borderId="9" xfId="0" applyFont="1" applyFill="1" applyBorder="1" applyAlignment="1">
      <alignment horizontal="center"/>
    </xf>
    <xf numFmtId="14" fontId="38" fillId="6" borderId="16" xfId="0" applyNumberFormat="1" applyFont="1" applyFill="1" applyBorder="1"/>
    <xf numFmtId="14" fontId="38" fillId="6" borderId="9" xfId="0" applyNumberFormat="1" applyFont="1" applyFill="1" applyBorder="1"/>
    <xf numFmtId="0" fontId="38" fillId="6" borderId="9" xfId="0" applyFont="1" applyFill="1" applyBorder="1" applyAlignment="1">
      <alignment horizontal="left"/>
    </xf>
    <xf numFmtId="0" fontId="38" fillId="6" borderId="23" xfId="0" applyFont="1" applyFill="1" applyBorder="1"/>
    <xf numFmtId="0" fontId="38" fillId="6" borderId="15" xfId="0" applyFont="1" applyFill="1" applyBorder="1"/>
    <xf numFmtId="0" fontId="38" fillId="6" borderId="19" xfId="0" applyFont="1" applyFill="1" applyBorder="1"/>
    <xf numFmtId="0" fontId="38" fillId="6" borderId="15" xfId="0" quotePrefix="1" applyFont="1" applyFill="1" applyBorder="1" applyAlignment="1">
      <alignment horizontal="center"/>
    </xf>
    <xf numFmtId="43" fontId="38" fillId="6" borderId="19" xfId="1" applyFont="1" applyFill="1" applyBorder="1"/>
    <xf numFmtId="43" fontId="38" fillId="6" borderId="15" xfId="1" applyFont="1" applyFill="1" applyBorder="1"/>
    <xf numFmtId="44" fontId="38" fillId="6" borderId="15" xfId="3" applyFont="1" applyFill="1" applyBorder="1"/>
    <xf numFmtId="14" fontId="38" fillId="6" borderId="19" xfId="0" applyNumberFormat="1" applyFont="1" applyFill="1" applyBorder="1"/>
    <xf numFmtId="14" fontId="38" fillId="6" borderId="15" xfId="0" applyNumberFormat="1" applyFont="1" applyFill="1" applyBorder="1"/>
    <xf numFmtId="0" fontId="34" fillId="0" borderId="21" xfId="0" applyFont="1" applyBorder="1"/>
    <xf numFmtId="0" fontId="34" fillId="0" borderId="13" xfId="0" quotePrefix="1" applyFont="1" applyBorder="1"/>
    <xf numFmtId="0" fontId="34" fillId="0" borderId="0" xfId="0" applyFont="1" applyBorder="1"/>
    <xf numFmtId="0" fontId="34" fillId="0" borderId="13" xfId="0" applyFont="1" applyBorder="1" applyAlignment="1">
      <alignment horizontal="center"/>
    </xf>
    <xf numFmtId="43" fontId="34" fillId="0" borderId="0" xfId="1" applyFont="1" applyBorder="1"/>
    <xf numFmtId="43" fontId="34" fillId="0" borderId="13" xfId="1" applyFont="1" applyBorder="1"/>
    <xf numFmtId="0" fontId="34" fillId="0" borderId="13" xfId="0" applyFont="1" applyBorder="1"/>
    <xf numFmtId="14" fontId="34" fillId="0" borderId="0" xfId="0" applyNumberFormat="1" applyFont="1" applyBorder="1"/>
    <xf numFmtId="14" fontId="34" fillId="0" borderId="13" xfId="0" applyNumberFormat="1" applyFont="1" applyBorder="1"/>
    <xf numFmtId="14" fontId="39" fillId="0" borderId="0" xfId="0" applyNumberFormat="1" applyFont="1" applyBorder="1"/>
    <xf numFmtId="0" fontId="40" fillId="6" borderId="22" xfId="0" applyFont="1" applyFill="1" applyBorder="1"/>
    <xf numFmtId="0" fontId="34" fillId="6" borderId="9" xfId="0" quotePrefix="1" applyFont="1" applyFill="1" applyBorder="1"/>
    <xf numFmtId="0" fontId="34" fillId="6" borderId="16" xfId="0" quotePrefix="1" applyFont="1" applyFill="1" applyBorder="1"/>
    <xf numFmtId="0" fontId="34" fillId="6" borderId="9" xfId="0" quotePrefix="1" applyFont="1" applyFill="1" applyBorder="1" applyAlignment="1">
      <alignment horizontal="center"/>
    </xf>
    <xf numFmtId="43" fontId="34" fillId="6" borderId="16" xfId="1" applyFont="1" applyFill="1" applyBorder="1"/>
    <xf numFmtId="43" fontId="34" fillId="6" borderId="9" xfId="1" applyFont="1" applyFill="1" applyBorder="1"/>
    <xf numFmtId="0" fontId="40" fillId="6" borderId="9" xfId="0" applyFont="1" applyFill="1" applyBorder="1"/>
    <xf numFmtId="14" fontId="34" fillId="6" borderId="16" xfId="0" applyNumberFormat="1" applyFont="1" applyFill="1" applyBorder="1"/>
    <xf numFmtId="14" fontId="34" fillId="6" borderId="9" xfId="0" applyNumberFormat="1" applyFont="1" applyFill="1" applyBorder="1"/>
    <xf numFmtId="43" fontId="34" fillId="0" borderId="0" xfId="0" applyNumberFormat="1" applyFont="1"/>
    <xf numFmtId="0" fontId="34" fillId="6" borderId="21" xfId="0" applyFont="1" applyFill="1" applyBorder="1"/>
    <xf numFmtId="0" fontId="34" fillId="6" borderId="13" xfId="0" quotePrefix="1" applyFont="1" applyFill="1" applyBorder="1"/>
    <xf numFmtId="0" fontId="34" fillId="6" borderId="0" xfId="0" quotePrefix="1" applyFont="1" applyFill="1" applyBorder="1"/>
    <xf numFmtId="0" fontId="34" fillId="6" borderId="13" xfId="0" applyFont="1" applyFill="1" applyBorder="1" applyAlignment="1">
      <alignment horizontal="center"/>
    </xf>
    <xf numFmtId="43" fontId="34" fillId="6" borderId="0" xfId="1" applyFont="1" applyFill="1" applyBorder="1"/>
    <xf numFmtId="43" fontId="34" fillId="6" borderId="13" xfId="1" applyFont="1" applyFill="1" applyBorder="1" applyAlignment="1">
      <alignment horizontal="center"/>
    </xf>
    <xf numFmtId="0" fontId="40" fillId="6" borderId="13" xfId="0" applyFont="1" applyFill="1" applyBorder="1"/>
    <xf numFmtId="14" fontId="34" fillId="6" borderId="0" xfId="0" applyNumberFormat="1" applyFont="1" applyFill="1" applyBorder="1"/>
    <xf numFmtId="14" fontId="34" fillId="6" borderId="13" xfId="0" applyNumberFormat="1" applyFont="1" applyFill="1" applyBorder="1"/>
    <xf numFmtId="43" fontId="34" fillId="6" borderId="13" xfId="1" applyFont="1" applyFill="1" applyBorder="1"/>
    <xf numFmtId="0" fontId="34" fillId="6" borderId="23" xfId="0" applyFont="1" applyFill="1" applyBorder="1"/>
    <xf numFmtId="0" fontId="34" fillId="6" borderId="15" xfId="0" applyFont="1" applyFill="1" applyBorder="1"/>
    <xf numFmtId="0" fontId="34" fillId="6" borderId="19" xfId="0" applyFont="1" applyFill="1" applyBorder="1"/>
    <xf numFmtId="0" fontId="34" fillId="6" borderId="15" xfId="0" applyFont="1" applyFill="1" applyBorder="1" applyAlignment="1">
      <alignment horizontal="center"/>
    </xf>
    <xf numFmtId="43" fontId="34" fillId="6" borderId="15" xfId="0" applyNumberFormat="1" applyFont="1" applyFill="1" applyBorder="1"/>
    <xf numFmtId="0" fontId="40" fillId="6" borderId="15" xfId="0" applyFont="1" applyFill="1" applyBorder="1"/>
    <xf numFmtId="14" fontId="34" fillId="6" borderId="15" xfId="0" applyNumberFormat="1" applyFont="1" applyFill="1" applyBorder="1"/>
    <xf numFmtId="0" fontId="40" fillId="0" borderId="20" xfId="0" applyFont="1" applyBorder="1"/>
    <xf numFmtId="0" fontId="34" fillId="0" borderId="20" xfId="0" quotePrefix="1" applyFont="1" applyBorder="1" applyAlignment="1">
      <alignment horizontal="center"/>
    </xf>
    <xf numFmtId="43" fontId="34" fillId="0" borderId="20" xfId="1" applyFont="1" applyBorder="1"/>
    <xf numFmtId="14" fontId="34" fillId="0" borderId="20" xfId="0" applyNumberFormat="1" applyFont="1" applyBorder="1"/>
    <xf numFmtId="0" fontId="34" fillId="6" borderId="20" xfId="0" applyFont="1" applyFill="1" applyBorder="1"/>
    <xf numFmtId="0" fontId="34" fillId="6" borderId="20" xfId="0" applyFont="1" applyFill="1" applyBorder="1" applyAlignment="1">
      <alignment horizontal="center"/>
    </xf>
    <xf numFmtId="43" fontId="34" fillId="6" borderId="20" xfId="1" applyFont="1" applyFill="1" applyBorder="1"/>
    <xf numFmtId="14" fontId="34" fillId="6" borderId="20" xfId="0" applyNumberFormat="1" applyFont="1" applyFill="1" applyBorder="1"/>
    <xf numFmtId="0" fontId="40" fillId="6" borderId="20" xfId="0" applyFont="1" applyFill="1" applyBorder="1"/>
    <xf numFmtId="0" fontId="34" fillId="6" borderId="20" xfId="0" quotePrefix="1" applyFont="1" applyFill="1" applyBorder="1" applyAlignment="1">
      <alignment horizontal="center"/>
    </xf>
    <xf numFmtId="0" fontId="34" fillId="0" borderId="20" xfId="0" quotePrefix="1" applyFont="1" applyBorder="1"/>
    <xf numFmtId="43" fontId="39" fillId="6" borderId="20" xfId="1" applyFont="1" applyFill="1" applyBorder="1"/>
    <xf numFmtId="0" fontId="39" fillId="0" borderId="20" xfId="0" applyFont="1" applyBorder="1"/>
    <xf numFmtId="2" fontId="34" fillId="0" borderId="20" xfId="0" applyNumberFormat="1" applyFont="1" applyBorder="1"/>
    <xf numFmtId="0" fontId="39" fillId="6" borderId="20" xfId="0" applyFont="1" applyFill="1" applyBorder="1"/>
    <xf numFmtId="2" fontId="34" fillId="6" borderId="20" xfId="0" applyNumberFormat="1" applyFont="1" applyFill="1" applyBorder="1"/>
    <xf numFmtId="43" fontId="36" fillId="0" borderId="0" xfId="1" applyFont="1"/>
    <xf numFmtId="43" fontId="34" fillId="0" borderId="0" xfId="1" applyFont="1"/>
    <xf numFmtId="0" fontId="34" fillId="0" borderId="22" xfId="0" applyFont="1" applyBorder="1"/>
    <xf numFmtId="0" fontId="34" fillId="0" borderId="8" xfId="0" applyFont="1" applyBorder="1"/>
    <xf numFmtId="43" fontId="34" fillId="0" borderId="9" xfId="1" applyFont="1" applyBorder="1"/>
    <xf numFmtId="43" fontId="36" fillId="0" borderId="9" xfId="0" applyNumberFormat="1" applyFont="1" applyBorder="1"/>
    <xf numFmtId="44" fontId="34" fillId="0" borderId="16" xfId="3" applyFont="1" applyBorder="1"/>
    <xf numFmtId="0" fontId="34" fillId="6" borderId="10" xfId="0" applyFont="1" applyFill="1" applyBorder="1"/>
    <xf numFmtId="0" fontId="34" fillId="6" borderId="11" xfId="0" applyFont="1" applyFill="1" applyBorder="1"/>
    <xf numFmtId="43" fontId="36" fillId="6" borderId="20" xfId="0" applyNumberFormat="1" applyFont="1" applyFill="1" applyBorder="1"/>
    <xf numFmtId="0" fontId="34" fillId="6" borderId="18" xfId="0" applyFont="1" applyFill="1" applyBorder="1"/>
    <xf numFmtId="0" fontId="34" fillId="6" borderId="0" xfId="0" applyFont="1" applyFill="1"/>
    <xf numFmtId="0" fontId="34" fillId="0" borderId="12" xfId="0" applyFont="1" applyBorder="1"/>
    <xf numFmtId="43" fontId="36" fillId="0" borderId="13" xfId="0" applyNumberFormat="1" applyFont="1" applyBorder="1"/>
    <xf numFmtId="44" fontId="34" fillId="6" borderId="18" xfId="3" applyFont="1" applyFill="1" applyBorder="1"/>
    <xf numFmtId="43" fontId="36" fillId="6" borderId="20" xfId="1" applyFont="1" applyFill="1" applyBorder="1"/>
    <xf numFmtId="43" fontId="36" fillId="0" borderId="13" xfId="1" applyFont="1" applyBorder="1"/>
    <xf numFmtId="0" fontId="34" fillId="0" borderId="23" xfId="0" applyFont="1" applyBorder="1"/>
    <xf numFmtId="0" fontId="34" fillId="0" borderId="14" xfId="0" applyFont="1" applyBorder="1"/>
    <xf numFmtId="43" fontId="34" fillId="0" borderId="15" xfId="1" applyFont="1" applyBorder="1"/>
    <xf numFmtId="43" fontId="36" fillId="0" borderId="15" xfId="1" applyFont="1" applyBorder="1"/>
    <xf numFmtId="0" fontId="34" fillId="0" borderId="19" xfId="0" applyFont="1" applyBorder="1"/>
    <xf numFmtId="0" fontId="17" fillId="0" borderId="0" xfId="0" applyFont="1" applyAlignment="1">
      <alignment horizontal="right"/>
    </xf>
    <xf numFmtId="0" fontId="17" fillId="0" borderId="20" xfId="0" applyFont="1" applyBorder="1" applyAlignment="1">
      <alignment horizontal="right"/>
    </xf>
    <xf numFmtId="10" fontId="5" fillId="0" borderId="20" xfId="2" applyNumberFormat="1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17" fillId="5" borderId="20" xfId="0" applyNumberFormat="1" applyFont="1" applyFill="1" applyBorder="1" applyAlignment="1">
      <alignment horizontal="center"/>
    </xf>
    <xf numFmtId="170" fontId="17" fillId="0" borderId="20" xfId="0" applyNumberFormat="1" applyFont="1" applyBorder="1" applyAlignment="1">
      <alignment horizontal="left"/>
    </xf>
    <xf numFmtId="170" fontId="17" fillId="0" borderId="20" xfId="0" applyNumberFormat="1" applyFont="1" applyBorder="1" applyAlignment="1">
      <alignment horizontal="right"/>
    </xf>
    <xf numFmtId="170" fontId="18" fillId="0" borderId="20" xfId="0" applyNumberFormat="1" applyFont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3" fontId="3" fillId="0" borderId="12" xfId="1" applyFont="1" applyFill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1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17" fillId="5" borderId="20" xfId="0" applyNumberFormat="1" applyFont="1" applyFill="1" applyBorder="1" applyAlignment="1">
      <alignment horizontal="left" vertical="center"/>
    </xf>
    <xf numFmtId="0" fontId="17" fillId="5" borderId="9" xfId="0" applyNumberFormat="1" applyFont="1" applyFill="1" applyBorder="1" applyAlignment="1">
      <alignment horizontal="left" vertical="center"/>
    </xf>
    <xf numFmtId="0" fontId="17" fillId="5" borderId="20" xfId="0" applyNumberFormat="1" applyFont="1" applyFill="1" applyBorder="1" applyAlignment="1">
      <alignment horizontal="center"/>
    </xf>
    <xf numFmtId="49" fontId="17" fillId="5" borderId="9" xfId="0" applyNumberFormat="1" applyFont="1" applyFill="1" applyBorder="1" applyAlignment="1">
      <alignment horizontal="center"/>
    </xf>
    <xf numFmtId="0" fontId="17" fillId="5" borderId="9" xfId="0" applyNumberFormat="1" applyFont="1" applyFill="1" applyBorder="1" applyAlignment="1">
      <alignment horizontal="center" vertical="center"/>
    </xf>
    <xf numFmtId="0" fontId="17" fillId="5" borderId="20" xfId="0" applyNumberFormat="1" applyFont="1" applyFill="1" applyBorder="1" applyAlignment="1">
      <alignment horizontal="center" vertical="center"/>
    </xf>
    <xf numFmtId="170" fontId="18" fillId="5" borderId="20" xfId="0" applyNumberFormat="1" applyFont="1" applyFill="1" applyBorder="1" applyAlignment="1">
      <alignment horizontal="left"/>
    </xf>
    <xf numFmtId="170" fontId="18" fillId="0" borderId="20" xfId="0" applyNumberFormat="1" applyFont="1" applyBorder="1" applyAlignment="1">
      <alignment horizontal="right"/>
    </xf>
    <xf numFmtId="170" fontId="18" fillId="0" borderId="2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17" fillId="0" borderId="19" xfId="0" applyFont="1" applyFill="1" applyBorder="1" applyAlignment="1"/>
    <xf numFmtId="0" fontId="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/>
    <xf numFmtId="0" fontId="22" fillId="0" borderId="19" xfId="0" applyFont="1" applyFill="1" applyBorder="1" applyAlignment="1"/>
    <xf numFmtId="0" fontId="8" fillId="0" borderId="19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/>
    <xf numFmtId="14" fontId="4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7" fillId="0" borderId="18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0" fillId="0" borderId="15" xfId="0" applyFill="1" applyBorder="1" applyAlignment="1"/>
    <xf numFmtId="0" fontId="4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/>
    <xf numFmtId="0" fontId="4" fillId="0" borderId="18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right" vertical="top"/>
    </xf>
    <xf numFmtId="0" fontId="28" fillId="0" borderId="29" xfId="0" applyFont="1" applyFill="1" applyBorder="1" applyAlignment="1">
      <alignment horizontal="right" vertical="top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35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4" fontId="28" fillId="0" borderId="36" xfId="0" applyNumberFormat="1" applyFont="1" applyFill="1" applyBorder="1" applyAlignment="1">
      <alignment horizontal="right" vertical="center" wrapText="1"/>
    </xf>
    <xf numFmtId="4" fontId="28" fillId="0" borderId="34" xfId="0" applyNumberFormat="1" applyFont="1" applyFill="1" applyBorder="1" applyAlignment="1">
      <alignment horizontal="right" vertical="center" wrapText="1"/>
    </xf>
    <xf numFmtId="4" fontId="28" fillId="0" borderId="35" xfId="0" applyNumberFormat="1" applyFont="1" applyFill="1" applyBorder="1" applyAlignment="1">
      <alignment horizontal="right" vertical="center" wrapText="1"/>
    </xf>
    <xf numFmtId="0" fontId="28" fillId="0" borderId="38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4" fontId="28" fillId="0" borderId="39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Alignment="1">
      <alignment horizontal="right" vertical="center" wrapText="1"/>
    </xf>
    <xf numFmtId="4" fontId="28" fillId="0" borderId="38" xfId="0" applyNumberFormat="1" applyFont="1" applyFill="1" applyBorder="1" applyAlignment="1">
      <alignment horizontal="right" vertical="center" wrapText="1"/>
    </xf>
    <xf numFmtId="0" fontId="28" fillId="0" borderId="31" xfId="0" applyFont="1" applyFill="1" applyBorder="1"/>
    <xf numFmtId="0" fontId="28" fillId="0" borderId="31" xfId="0" applyFont="1" applyFill="1" applyBorder="1" applyAlignment="1">
      <alignment horizontal="right"/>
    </xf>
    <xf numFmtId="0" fontId="29" fillId="3" borderId="32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vertical="center"/>
    </xf>
    <xf numFmtId="0" fontId="29" fillId="3" borderId="32" xfId="0" applyFont="1" applyFill="1" applyBorder="1" applyAlignment="1">
      <alignment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32" xfId="0" applyFont="1" applyFill="1" applyBorder="1" applyAlignment="1">
      <alignment horizontal="center" vertical="center"/>
    </xf>
    <xf numFmtId="0" fontId="29" fillId="3" borderId="33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4" fontId="28" fillId="0" borderId="42" xfId="0" applyNumberFormat="1" applyFont="1" applyFill="1" applyBorder="1" applyAlignment="1">
      <alignment horizontal="right" vertical="center" wrapText="1"/>
    </xf>
    <xf numFmtId="4" fontId="28" fillId="0" borderId="31" xfId="0" applyNumberFormat="1" applyFont="1" applyFill="1" applyBorder="1" applyAlignment="1">
      <alignment horizontal="right" vertical="center" wrapText="1"/>
    </xf>
    <xf numFmtId="4" fontId="28" fillId="0" borderId="41" xfId="0" applyNumberFormat="1" applyFont="1" applyFill="1" applyBorder="1" applyAlignment="1">
      <alignment horizontal="right" vertical="center" wrapText="1"/>
    </xf>
    <xf numFmtId="4" fontId="29" fillId="3" borderId="25" xfId="0" applyNumberFormat="1" applyFont="1" applyFill="1" applyBorder="1" applyAlignment="1">
      <alignment horizontal="right" vertical="center"/>
    </xf>
    <xf numFmtId="4" fontId="29" fillId="3" borderId="32" xfId="0" applyNumberFormat="1" applyFont="1" applyFill="1" applyBorder="1" applyAlignment="1">
      <alignment horizontal="right" vertical="center"/>
    </xf>
    <xf numFmtId="4" fontId="29" fillId="3" borderId="33" xfId="0" applyNumberFormat="1" applyFont="1" applyFill="1" applyBorder="1" applyAlignment="1">
      <alignment horizontal="right" vertical="center"/>
    </xf>
    <xf numFmtId="0" fontId="28" fillId="0" borderId="39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38" xfId="0" applyFont="1" applyFill="1" applyBorder="1" applyAlignment="1">
      <alignment horizontal="right" vertical="center" wrapText="1"/>
    </xf>
    <xf numFmtId="0" fontId="28" fillId="0" borderId="42" xfId="0" applyFont="1" applyFill="1" applyBorder="1" applyAlignment="1">
      <alignment horizontal="right" vertical="center" wrapText="1"/>
    </xf>
    <xf numFmtId="0" fontId="28" fillId="0" borderId="31" xfId="0" applyFont="1" applyFill="1" applyBorder="1" applyAlignment="1">
      <alignment horizontal="right" vertical="center" wrapText="1"/>
    </xf>
    <xf numFmtId="0" fontId="28" fillId="0" borderId="41" xfId="0" applyFont="1" applyFill="1" applyBorder="1" applyAlignment="1">
      <alignment horizontal="right" vertical="center" wrapText="1"/>
    </xf>
    <xf numFmtId="0" fontId="28" fillId="0" borderId="36" xfId="0" applyFont="1" applyFill="1" applyBorder="1" applyAlignment="1">
      <alignment horizontal="right" vertical="center" wrapText="1"/>
    </xf>
    <xf numFmtId="0" fontId="28" fillId="0" borderId="34" xfId="0" applyFont="1" applyFill="1" applyBorder="1" applyAlignment="1">
      <alignment horizontal="right" vertical="center" wrapText="1"/>
    </xf>
    <xf numFmtId="0" fontId="28" fillId="0" borderId="35" xfId="0" applyFont="1" applyFill="1" applyBorder="1" applyAlignment="1">
      <alignment horizontal="right"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28" fillId="0" borderId="32" xfId="0" applyFont="1" applyFill="1" applyBorder="1" applyAlignment="1">
      <alignment horizontal="right" vertical="center" wrapText="1"/>
    </xf>
    <xf numFmtId="0" fontId="28" fillId="0" borderId="33" xfId="0" applyFont="1" applyFill="1" applyBorder="1" applyAlignment="1">
      <alignment horizontal="right" vertical="center" wrapText="1"/>
    </xf>
    <xf numFmtId="0" fontId="19" fillId="0" borderId="32" xfId="0" applyFont="1" applyFill="1" applyBorder="1" applyAlignment="1">
      <alignment vertical="top"/>
    </xf>
    <xf numFmtId="0" fontId="19" fillId="0" borderId="34" xfId="0" applyFont="1" applyFill="1" applyBorder="1" applyAlignment="1">
      <alignment vertical="top"/>
    </xf>
    <xf numFmtId="0" fontId="28" fillId="0" borderId="0" xfId="0" applyFont="1" applyFill="1" applyAlignment="1">
      <alignment wrapText="1"/>
    </xf>
    <xf numFmtId="0" fontId="28" fillId="0" borderId="0" xfId="0" applyFont="1" applyFill="1"/>
    <xf numFmtId="0" fontId="0" fillId="0" borderId="14" xfId="0" applyFill="1" applyBorder="1" applyAlignment="1"/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justify" wrapText="1"/>
    </xf>
    <xf numFmtId="164" fontId="4" fillId="0" borderId="19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justify" wrapText="1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8" xfId="0" applyFont="1" applyBorder="1" applyAlignment="1">
      <alignment horizontal="center"/>
    </xf>
  </cellXfs>
  <cellStyles count="4">
    <cellStyle name="Moeda" xfId="3" builtinId="4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Docum2012\PlanOr&#231;amAl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A%202022-2025/PROJE&#199;&#213;ES_PPA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úde"/>
      <sheetName val="Seduc"/>
      <sheetName val="Social"/>
      <sheetName val="BalOr"/>
      <sheetName val="Plan2"/>
      <sheetName val="Pess"/>
      <sheetName val="ÒRGÃOS"/>
      <sheetName val="Riscos"/>
      <sheetName val="Marg"/>
      <sheetName val="Metas"/>
      <sheetName val="Plan6"/>
      <sheetName val="RPPS"/>
      <sheetName val="Alien"/>
      <sheetName val="Patrim"/>
      <sheetName val="AvalMet"/>
      <sheetName val="Nom"/>
      <sheetName val="AoAno"/>
      <sheetName val="Plan3"/>
      <sheetName val="Plan1"/>
      <sheetName val="Dív"/>
      <sheetName val="Anexo"/>
    </sheetNames>
    <sheetDataSet>
      <sheetData sheetId="0" refreshError="1"/>
      <sheetData sheetId="1">
        <row r="35">
          <cell r="H35">
            <v>9398030</v>
          </cell>
          <cell r="J35">
            <v>9398030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35">
          <cell r="N35">
            <v>64196899.360572927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2">
          <cell r="E12">
            <v>56951277.359999999</v>
          </cell>
        </row>
      </sheetData>
      <sheetData sheetId="16" refreshError="1"/>
      <sheetData sheetId="17">
        <row r="12">
          <cell r="E12">
            <v>71166540.537798122</v>
          </cell>
        </row>
      </sheetData>
      <sheetData sheetId="18">
        <row r="139">
          <cell r="B139">
            <v>64206899.364683546</v>
          </cell>
        </row>
      </sheetData>
      <sheetData sheetId="19">
        <row r="18">
          <cell r="G18">
            <v>-1191266.4700000002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Total"/>
      <sheetName val="RCL"/>
      <sheetName val="RecPref"/>
      <sheetName val="RecFAPS"/>
      <sheetName val="RecFASM"/>
      <sheetName val="Proj_Vlr_Camara"/>
      <sheetName val="Rec_p_FR"/>
      <sheetName val="Resumo"/>
      <sheetName val="Ensino"/>
      <sheetName val="Saúde"/>
      <sheetName val="SMAS"/>
      <sheetName val="PPA_Ações"/>
    </sheetNames>
    <sheetDataSet>
      <sheetData sheetId="0">
        <row r="16">
          <cell r="C16">
            <v>16164648</v>
          </cell>
        </row>
        <row r="192">
          <cell r="C192">
            <v>3989813.88</v>
          </cell>
        </row>
        <row r="209">
          <cell r="C209">
            <v>1163888.42</v>
          </cell>
        </row>
        <row r="259">
          <cell r="C259">
            <v>28295521.66</v>
          </cell>
        </row>
        <row r="275">
          <cell r="C275">
            <v>1189699.26</v>
          </cell>
        </row>
        <row r="353">
          <cell r="C353">
            <v>38246796.359999999</v>
          </cell>
        </row>
        <row r="365">
          <cell r="C365">
            <v>3902843.86</v>
          </cell>
        </row>
        <row r="371">
          <cell r="C371">
            <v>561182.43000000005</v>
          </cell>
        </row>
        <row r="377">
          <cell r="C377">
            <v>133709.76000000001</v>
          </cell>
        </row>
        <row r="523">
          <cell r="C523">
            <v>5659104.3300000001</v>
          </cell>
        </row>
        <row r="526">
          <cell r="C526">
            <v>237939.85</v>
          </cell>
        </row>
        <row r="532">
          <cell r="C532">
            <v>7649359.2699999996</v>
          </cell>
        </row>
        <row r="541">
          <cell r="C541">
            <v>780568.77</v>
          </cell>
        </row>
        <row r="544">
          <cell r="C544">
            <v>112236.49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8"/>
  <sheetViews>
    <sheetView workbookViewId="0">
      <selection activeCell="A5" sqref="A5:E5"/>
    </sheetView>
  </sheetViews>
  <sheetFormatPr defaultRowHeight="11.25"/>
  <cols>
    <col min="1" max="1" width="17.5703125" style="152" customWidth="1"/>
    <col min="2" max="2" width="40.7109375" style="152" customWidth="1"/>
    <col min="3" max="3" width="12.85546875" style="152" bestFit="1" customWidth="1"/>
    <col min="4" max="4" width="6.42578125" style="152" bestFit="1" customWidth="1"/>
    <col min="5" max="5" width="12.85546875" style="152" bestFit="1" customWidth="1"/>
    <col min="6" max="16384" width="9.140625" style="152"/>
  </cols>
  <sheetData>
    <row r="1" spans="1:5">
      <c r="A1" s="433" t="s">
        <v>310</v>
      </c>
      <c r="B1" s="433"/>
      <c r="C1" s="433"/>
      <c r="D1" s="433"/>
      <c r="E1" s="433"/>
    </row>
    <row r="2" spans="1:5">
      <c r="A2" s="433" t="s">
        <v>535</v>
      </c>
      <c r="B2" s="433"/>
      <c r="C2" s="433"/>
      <c r="D2" s="433"/>
      <c r="E2" s="433"/>
    </row>
    <row r="3" spans="1:5">
      <c r="A3" s="434" t="s">
        <v>536</v>
      </c>
      <c r="B3" s="434"/>
      <c r="C3" s="434"/>
      <c r="D3" s="434"/>
      <c r="E3" s="434"/>
    </row>
    <row r="4" spans="1:5">
      <c r="A4" s="434" t="s">
        <v>313</v>
      </c>
      <c r="B4" s="434"/>
      <c r="C4" s="434"/>
      <c r="D4" s="434"/>
      <c r="E4" s="434"/>
    </row>
    <row r="5" spans="1:5">
      <c r="A5" s="433" t="s">
        <v>314</v>
      </c>
      <c r="B5" s="433"/>
      <c r="C5" s="433"/>
      <c r="D5" s="433"/>
      <c r="E5" s="433"/>
    </row>
    <row r="6" spans="1:5">
      <c r="A6" s="432" t="s">
        <v>1268</v>
      </c>
      <c r="B6" s="432"/>
      <c r="C6" s="432"/>
      <c r="D6" s="432"/>
      <c r="E6" s="432"/>
    </row>
    <row r="7" spans="1:5">
      <c r="A7" s="435" t="s">
        <v>315</v>
      </c>
      <c r="B7" s="435"/>
      <c r="C7" s="435"/>
      <c r="D7" s="435"/>
      <c r="E7" s="435"/>
    </row>
    <row r="9" spans="1:5">
      <c r="A9" s="434" t="s">
        <v>537</v>
      </c>
      <c r="B9" s="434"/>
      <c r="C9" s="434"/>
      <c r="D9" s="434"/>
      <c r="E9" s="434"/>
    </row>
    <row r="10" spans="1:5">
      <c r="A10" s="434" t="s">
        <v>318</v>
      </c>
      <c r="B10" s="434"/>
      <c r="C10" s="434"/>
      <c r="D10" s="434"/>
      <c r="E10" s="434"/>
    </row>
    <row r="11" spans="1:5">
      <c r="A11" s="436" t="s">
        <v>145</v>
      </c>
      <c r="B11" s="436"/>
      <c r="C11" s="438" t="s">
        <v>538</v>
      </c>
      <c r="D11" s="438"/>
      <c r="E11" s="438"/>
    </row>
    <row r="12" spans="1:5">
      <c r="A12" s="437"/>
      <c r="B12" s="437"/>
      <c r="C12" s="439" t="s">
        <v>539</v>
      </c>
      <c r="D12" s="439"/>
      <c r="E12" s="440" t="s">
        <v>540</v>
      </c>
    </row>
    <row r="13" spans="1:5">
      <c r="A13" s="436"/>
      <c r="B13" s="436"/>
      <c r="C13" s="420" t="s">
        <v>541</v>
      </c>
      <c r="D13" s="420" t="s">
        <v>542</v>
      </c>
      <c r="E13" s="441"/>
    </row>
    <row r="14" spans="1:5">
      <c r="A14" s="442" t="s">
        <v>320</v>
      </c>
      <c r="B14" s="442"/>
      <c r="C14" s="309"/>
      <c r="D14" s="309"/>
      <c r="E14" s="309"/>
    </row>
    <row r="15" spans="1:5">
      <c r="A15" s="257" t="s">
        <v>543</v>
      </c>
      <c r="B15" s="421" t="s">
        <v>320</v>
      </c>
      <c r="C15" s="422">
        <v>145978293.25999999</v>
      </c>
      <c r="D15" s="422">
        <v>0</v>
      </c>
      <c r="E15" s="422">
        <v>145978293.25999999</v>
      </c>
    </row>
    <row r="16" spans="1:5">
      <c r="A16" s="257" t="s">
        <v>544</v>
      </c>
      <c r="B16" s="421" t="s">
        <v>545</v>
      </c>
      <c r="C16" s="422">
        <v>16164648</v>
      </c>
      <c r="D16" s="422">
        <v>0</v>
      </c>
      <c r="E16" s="422">
        <v>16164648</v>
      </c>
    </row>
    <row r="17" spans="1:5">
      <c r="A17" s="257" t="s">
        <v>546</v>
      </c>
      <c r="B17" s="421" t="s">
        <v>547</v>
      </c>
      <c r="C17" s="422">
        <v>14578065.76</v>
      </c>
      <c r="D17" s="422">
        <v>0</v>
      </c>
      <c r="E17" s="422">
        <v>14578065.76</v>
      </c>
    </row>
    <row r="18" spans="1:5">
      <c r="A18" s="257" t="s">
        <v>548</v>
      </c>
      <c r="B18" s="421" t="s">
        <v>549</v>
      </c>
      <c r="C18" s="422">
        <v>3914901.83</v>
      </c>
      <c r="D18" s="422">
        <v>0</v>
      </c>
      <c r="E18" s="422">
        <v>3914901.83</v>
      </c>
    </row>
    <row r="19" spans="1:5">
      <c r="A19" s="257" t="s">
        <v>550</v>
      </c>
      <c r="B19" s="421" t="s">
        <v>551</v>
      </c>
      <c r="C19" s="422">
        <v>3914901.83</v>
      </c>
      <c r="D19" s="422">
        <v>0</v>
      </c>
      <c r="E19" s="422">
        <v>3914901.83</v>
      </c>
    </row>
    <row r="20" spans="1:5">
      <c r="A20" s="257" t="s">
        <v>552</v>
      </c>
      <c r="B20" s="421" t="s">
        <v>553</v>
      </c>
      <c r="C20" s="422">
        <v>3855803.57</v>
      </c>
      <c r="D20" s="422">
        <v>0</v>
      </c>
      <c r="E20" s="422">
        <v>3855803.57</v>
      </c>
    </row>
    <row r="21" spans="1:5">
      <c r="A21" s="257" t="s">
        <v>554</v>
      </c>
      <c r="B21" s="421" t="s">
        <v>555</v>
      </c>
      <c r="C21" s="422">
        <v>3855803.57</v>
      </c>
      <c r="D21" s="422">
        <v>0</v>
      </c>
      <c r="E21" s="422">
        <v>3855803.57</v>
      </c>
    </row>
    <row r="22" spans="1:5">
      <c r="A22" s="257" t="s">
        <v>556</v>
      </c>
      <c r="B22" s="421" t="s">
        <v>355</v>
      </c>
      <c r="C22" s="422">
        <v>3158978.58</v>
      </c>
      <c r="D22" s="422">
        <v>0</v>
      </c>
      <c r="E22" s="422">
        <v>3158978.58</v>
      </c>
    </row>
    <row r="23" spans="1:5">
      <c r="A23" s="257" t="s">
        <v>557</v>
      </c>
      <c r="B23" s="421" t="s">
        <v>558</v>
      </c>
      <c r="C23" s="422">
        <v>1895387.15</v>
      </c>
      <c r="D23" s="422">
        <v>0</v>
      </c>
      <c r="E23" s="422">
        <v>1895387.15</v>
      </c>
    </row>
    <row r="24" spans="1:5">
      <c r="A24" s="257" t="s">
        <v>559</v>
      </c>
      <c r="B24" s="421" t="s">
        <v>560</v>
      </c>
      <c r="C24" s="422">
        <v>789744.64000000001</v>
      </c>
      <c r="D24" s="422">
        <v>0</v>
      </c>
      <c r="E24" s="422">
        <v>789744.64000000001</v>
      </c>
    </row>
    <row r="25" spans="1:5">
      <c r="A25" s="257" t="s">
        <v>561</v>
      </c>
      <c r="B25" s="421" t="s">
        <v>562</v>
      </c>
      <c r="C25" s="422">
        <v>473846.79</v>
      </c>
      <c r="D25" s="422">
        <v>0</v>
      </c>
      <c r="E25" s="422">
        <v>473846.79</v>
      </c>
    </row>
    <row r="26" spans="1:5">
      <c r="A26" s="257" t="s">
        <v>563</v>
      </c>
      <c r="B26" s="421" t="s">
        <v>357</v>
      </c>
      <c r="C26" s="422">
        <v>169713.35</v>
      </c>
      <c r="D26" s="422">
        <v>0</v>
      </c>
      <c r="E26" s="422">
        <v>169713.35</v>
      </c>
    </row>
    <row r="27" spans="1:5">
      <c r="A27" s="257" t="s">
        <v>564</v>
      </c>
      <c r="B27" s="421" t="s">
        <v>558</v>
      </c>
      <c r="C27" s="422">
        <v>101828.01</v>
      </c>
      <c r="D27" s="422">
        <v>0</v>
      </c>
      <c r="E27" s="422">
        <v>101828.01</v>
      </c>
    </row>
    <row r="28" spans="1:5">
      <c r="A28" s="257" t="s">
        <v>565</v>
      </c>
      <c r="B28" s="421" t="s">
        <v>560</v>
      </c>
      <c r="C28" s="422">
        <v>42428.34</v>
      </c>
      <c r="D28" s="422">
        <v>0</v>
      </c>
      <c r="E28" s="422">
        <v>42428.34</v>
      </c>
    </row>
    <row r="29" spans="1:5">
      <c r="A29" s="257" t="s">
        <v>566</v>
      </c>
      <c r="B29" s="421" t="s">
        <v>562</v>
      </c>
      <c r="C29" s="422">
        <v>25457</v>
      </c>
      <c r="D29" s="422">
        <v>0</v>
      </c>
      <c r="E29" s="422">
        <v>25457</v>
      </c>
    </row>
    <row r="30" spans="1:5">
      <c r="A30" s="257" t="s">
        <v>567</v>
      </c>
      <c r="B30" s="421" t="s">
        <v>568</v>
      </c>
      <c r="C30" s="422">
        <v>487707.16</v>
      </c>
      <c r="D30" s="422">
        <v>0</v>
      </c>
      <c r="E30" s="422">
        <v>487707.16</v>
      </c>
    </row>
    <row r="31" spans="1:5">
      <c r="A31" s="257" t="s">
        <v>569</v>
      </c>
      <c r="B31" s="421" t="s">
        <v>558</v>
      </c>
      <c r="C31" s="422">
        <v>292624.3</v>
      </c>
      <c r="D31" s="422">
        <v>0</v>
      </c>
      <c r="E31" s="422">
        <v>292624.3</v>
      </c>
    </row>
    <row r="32" spans="1:5">
      <c r="A32" s="257" t="s">
        <v>570</v>
      </c>
      <c r="B32" s="421" t="s">
        <v>560</v>
      </c>
      <c r="C32" s="422">
        <v>121926.79</v>
      </c>
      <c r="D32" s="422">
        <v>0</v>
      </c>
      <c r="E32" s="422">
        <v>121926.79</v>
      </c>
    </row>
    <row r="33" spans="1:5">
      <c r="A33" s="257" t="s">
        <v>571</v>
      </c>
      <c r="B33" s="421" t="s">
        <v>562</v>
      </c>
      <c r="C33" s="422">
        <v>73156.070000000007</v>
      </c>
      <c r="D33" s="422">
        <v>0</v>
      </c>
      <c r="E33" s="422">
        <v>73156.070000000007</v>
      </c>
    </row>
    <row r="34" spans="1:5">
      <c r="A34" s="257" t="s">
        <v>572</v>
      </c>
      <c r="B34" s="421" t="s">
        <v>573</v>
      </c>
      <c r="C34" s="422">
        <v>39404.480000000003</v>
      </c>
      <c r="D34" s="422">
        <v>0</v>
      </c>
      <c r="E34" s="422">
        <v>39404.480000000003</v>
      </c>
    </row>
    <row r="35" spans="1:5">
      <c r="A35" s="257" t="s">
        <v>574</v>
      </c>
      <c r="B35" s="421" t="s">
        <v>558</v>
      </c>
      <c r="C35" s="422">
        <v>23642.69</v>
      </c>
      <c r="D35" s="422">
        <v>0</v>
      </c>
      <c r="E35" s="422">
        <v>23642.69</v>
      </c>
    </row>
    <row r="36" spans="1:5">
      <c r="A36" s="257" t="s">
        <v>575</v>
      </c>
      <c r="B36" s="421" t="s">
        <v>560</v>
      </c>
      <c r="C36" s="422">
        <v>9851.1200000000008</v>
      </c>
      <c r="D36" s="422">
        <v>0</v>
      </c>
      <c r="E36" s="422">
        <v>9851.1200000000008</v>
      </c>
    </row>
    <row r="37" spans="1:5">
      <c r="A37" s="257" t="s">
        <v>576</v>
      </c>
      <c r="B37" s="421" t="s">
        <v>562</v>
      </c>
      <c r="C37" s="422">
        <v>5910.67</v>
      </c>
      <c r="D37" s="422">
        <v>0</v>
      </c>
      <c r="E37" s="422">
        <v>5910.67</v>
      </c>
    </row>
    <row r="38" spans="1:5">
      <c r="A38" s="257" t="s">
        <v>577</v>
      </c>
      <c r="B38" s="421" t="s">
        <v>578</v>
      </c>
      <c r="C38" s="422">
        <v>59098.26</v>
      </c>
      <c r="D38" s="422">
        <v>0</v>
      </c>
      <c r="E38" s="422">
        <v>59098.26</v>
      </c>
    </row>
    <row r="39" spans="1:5">
      <c r="A39" s="257" t="s">
        <v>579</v>
      </c>
      <c r="B39" s="421" t="s">
        <v>580</v>
      </c>
      <c r="C39" s="422">
        <v>59098.26</v>
      </c>
      <c r="D39" s="422">
        <v>0</v>
      </c>
      <c r="E39" s="422">
        <v>59098.26</v>
      </c>
    </row>
    <row r="40" spans="1:5">
      <c r="A40" s="257" t="s">
        <v>581</v>
      </c>
      <c r="B40" s="421" t="s">
        <v>582</v>
      </c>
      <c r="C40" s="422">
        <v>58598.85</v>
      </c>
      <c r="D40" s="422">
        <v>0</v>
      </c>
      <c r="E40" s="422">
        <v>58598.85</v>
      </c>
    </row>
    <row r="41" spans="1:5">
      <c r="A41" s="257" t="s">
        <v>583</v>
      </c>
      <c r="B41" s="421" t="s">
        <v>584</v>
      </c>
      <c r="C41" s="422">
        <v>35159.31</v>
      </c>
      <c r="D41" s="422">
        <v>0</v>
      </c>
      <c r="E41" s="422">
        <v>35159.31</v>
      </c>
    </row>
    <row r="42" spans="1:5">
      <c r="A42" s="257" t="s">
        <v>585</v>
      </c>
      <c r="B42" s="421" t="s">
        <v>586</v>
      </c>
      <c r="C42" s="422">
        <v>14649.71</v>
      </c>
      <c r="D42" s="422">
        <v>0</v>
      </c>
      <c r="E42" s="422">
        <v>14649.71</v>
      </c>
    </row>
    <row r="43" spans="1:5">
      <c r="A43" s="257" t="s">
        <v>587</v>
      </c>
      <c r="B43" s="421" t="s">
        <v>562</v>
      </c>
      <c r="C43" s="422">
        <v>8789.83</v>
      </c>
      <c r="D43" s="422">
        <v>0</v>
      </c>
      <c r="E43" s="422">
        <v>8789.83</v>
      </c>
    </row>
    <row r="44" spans="1:5">
      <c r="A44" s="257" t="s">
        <v>588</v>
      </c>
      <c r="B44" s="421" t="s">
        <v>589</v>
      </c>
      <c r="C44" s="422">
        <v>499.41</v>
      </c>
      <c r="D44" s="422">
        <v>0</v>
      </c>
      <c r="E44" s="422">
        <v>499.41</v>
      </c>
    </row>
    <row r="45" spans="1:5">
      <c r="A45" s="257" t="s">
        <v>590</v>
      </c>
      <c r="B45" s="421" t="s">
        <v>591</v>
      </c>
      <c r="C45" s="422">
        <v>299.64999999999998</v>
      </c>
      <c r="D45" s="422">
        <v>0</v>
      </c>
      <c r="E45" s="422">
        <v>299.64999999999998</v>
      </c>
    </row>
    <row r="46" spans="1:5">
      <c r="A46" s="257" t="s">
        <v>592</v>
      </c>
      <c r="B46" s="421" t="s">
        <v>586</v>
      </c>
      <c r="C46" s="422">
        <v>124.85</v>
      </c>
      <c r="D46" s="422">
        <v>0</v>
      </c>
      <c r="E46" s="422">
        <v>124.85</v>
      </c>
    </row>
    <row r="47" spans="1:5">
      <c r="A47" s="257" t="s">
        <v>593</v>
      </c>
      <c r="B47" s="421" t="s">
        <v>562</v>
      </c>
      <c r="C47" s="422">
        <v>74.91</v>
      </c>
      <c r="D47" s="422">
        <v>0</v>
      </c>
      <c r="E47" s="422">
        <v>74.91</v>
      </c>
    </row>
    <row r="48" spans="1:5">
      <c r="A48" s="257" t="s">
        <v>594</v>
      </c>
      <c r="B48" s="421" t="s">
        <v>595</v>
      </c>
      <c r="C48" s="422">
        <v>10663163.93</v>
      </c>
      <c r="D48" s="422">
        <v>0</v>
      </c>
      <c r="E48" s="422">
        <v>10663163.93</v>
      </c>
    </row>
    <row r="49" spans="1:5">
      <c r="A49" s="257" t="s">
        <v>596</v>
      </c>
      <c r="B49" s="421" t="s">
        <v>597</v>
      </c>
      <c r="C49" s="422">
        <v>4846278.0199999996</v>
      </c>
      <c r="D49" s="422">
        <v>0</v>
      </c>
      <c r="E49" s="422">
        <v>4846278.0199999996</v>
      </c>
    </row>
    <row r="50" spans="1:5">
      <c r="A50" s="257" t="s">
        <v>598</v>
      </c>
      <c r="B50" s="421" t="s">
        <v>599</v>
      </c>
      <c r="C50" s="422">
        <v>3467839.35</v>
      </c>
      <c r="D50" s="422">
        <v>0</v>
      </c>
      <c r="E50" s="422">
        <v>3467839.35</v>
      </c>
    </row>
    <row r="51" spans="1:5">
      <c r="A51" s="257" t="s">
        <v>600</v>
      </c>
      <c r="B51" s="421" t="s">
        <v>601</v>
      </c>
      <c r="C51" s="422">
        <v>2720609.35</v>
      </c>
      <c r="D51" s="422">
        <v>0</v>
      </c>
      <c r="E51" s="422">
        <v>2720609.35</v>
      </c>
    </row>
    <row r="52" spans="1:5">
      <c r="A52" s="257" t="s">
        <v>602</v>
      </c>
      <c r="B52" s="421" t="s">
        <v>603</v>
      </c>
      <c r="C52" s="422">
        <v>1632365.61</v>
      </c>
      <c r="D52" s="422">
        <v>0</v>
      </c>
      <c r="E52" s="422">
        <v>1632365.61</v>
      </c>
    </row>
    <row r="53" spans="1:5">
      <c r="A53" s="257" t="s">
        <v>604</v>
      </c>
      <c r="B53" s="421" t="s">
        <v>605</v>
      </c>
      <c r="C53" s="422">
        <v>680152.34</v>
      </c>
      <c r="D53" s="422">
        <v>0</v>
      </c>
      <c r="E53" s="422">
        <v>680152.34</v>
      </c>
    </row>
    <row r="54" spans="1:5">
      <c r="A54" s="257" t="s">
        <v>606</v>
      </c>
      <c r="B54" s="421" t="s">
        <v>607</v>
      </c>
      <c r="C54" s="422">
        <v>408091.4</v>
      </c>
      <c r="D54" s="422">
        <v>0</v>
      </c>
      <c r="E54" s="422">
        <v>408091.4</v>
      </c>
    </row>
    <row r="55" spans="1:5">
      <c r="A55" s="257" t="s">
        <v>608</v>
      </c>
      <c r="B55" s="421" t="s">
        <v>609</v>
      </c>
      <c r="C55" s="422">
        <v>20944.68</v>
      </c>
      <c r="D55" s="422">
        <v>0</v>
      </c>
      <c r="E55" s="422">
        <v>20944.68</v>
      </c>
    </row>
    <row r="56" spans="1:5">
      <c r="A56" s="257" t="s">
        <v>610</v>
      </c>
      <c r="B56" s="421" t="s">
        <v>603</v>
      </c>
      <c r="C56" s="422">
        <v>12566.81</v>
      </c>
      <c r="D56" s="422">
        <v>0</v>
      </c>
      <c r="E56" s="422">
        <v>12566.81</v>
      </c>
    </row>
    <row r="57" spans="1:5">
      <c r="A57" s="257" t="s">
        <v>611</v>
      </c>
      <c r="B57" s="421" t="s">
        <v>605</v>
      </c>
      <c r="C57" s="422">
        <v>5236.17</v>
      </c>
      <c r="D57" s="422">
        <v>0</v>
      </c>
      <c r="E57" s="422">
        <v>5236.17</v>
      </c>
    </row>
    <row r="58" spans="1:5">
      <c r="A58" s="257" t="s">
        <v>612</v>
      </c>
      <c r="B58" s="421" t="s">
        <v>607</v>
      </c>
      <c r="C58" s="422">
        <v>3141.7</v>
      </c>
      <c r="D58" s="422">
        <v>0</v>
      </c>
      <c r="E58" s="422">
        <v>3141.7</v>
      </c>
    </row>
    <row r="59" spans="1:5">
      <c r="A59" s="257" t="s">
        <v>613</v>
      </c>
      <c r="B59" s="421" t="s">
        <v>614</v>
      </c>
      <c r="C59" s="422">
        <v>529318.39</v>
      </c>
      <c r="D59" s="422">
        <v>0</v>
      </c>
      <c r="E59" s="422">
        <v>529318.39</v>
      </c>
    </row>
    <row r="60" spans="1:5">
      <c r="A60" s="257" t="s">
        <v>615</v>
      </c>
      <c r="B60" s="421" t="s">
        <v>603</v>
      </c>
      <c r="C60" s="422">
        <v>317591.03000000003</v>
      </c>
      <c r="D60" s="422">
        <v>0</v>
      </c>
      <c r="E60" s="422">
        <v>317591.03000000003</v>
      </c>
    </row>
    <row r="61" spans="1:5">
      <c r="A61" s="257" t="s">
        <v>616</v>
      </c>
      <c r="B61" s="421" t="s">
        <v>605</v>
      </c>
      <c r="C61" s="422">
        <v>132329.60000000001</v>
      </c>
      <c r="D61" s="422">
        <v>0</v>
      </c>
      <c r="E61" s="422">
        <v>132329.60000000001</v>
      </c>
    </row>
    <row r="62" spans="1:5">
      <c r="A62" s="257" t="s">
        <v>617</v>
      </c>
      <c r="B62" s="421" t="s">
        <v>607</v>
      </c>
      <c r="C62" s="422">
        <v>79397.759999999995</v>
      </c>
      <c r="D62" s="422">
        <v>0</v>
      </c>
      <c r="E62" s="422">
        <v>79397.759999999995</v>
      </c>
    </row>
    <row r="63" spans="1:5">
      <c r="A63" s="257" t="s">
        <v>618</v>
      </c>
      <c r="B63" s="421" t="s">
        <v>619</v>
      </c>
      <c r="C63" s="422">
        <v>196966.93</v>
      </c>
      <c r="D63" s="422">
        <v>0</v>
      </c>
      <c r="E63" s="422">
        <v>196966.93</v>
      </c>
    </row>
    <row r="64" spans="1:5">
      <c r="A64" s="257" t="s">
        <v>620</v>
      </c>
      <c r="B64" s="421" t="s">
        <v>603</v>
      </c>
      <c r="C64" s="422">
        <v>118180.16</v>
      </c>
      <c r="D64" s="422">
        <v>0</v>
      </c>
      <c r="E64" s="422">
        <v>118180.16</v>
      </c>
    </row>
    <row r="65" spans="1:5">
      <c r="A65" s="257" t="s">
        <v>621</v>
      </c>
      <c r="B65" s="421" t="s">
        <v>605</v>
      </c>
      <c r="C65" s="422">
        <v>49241.73</v>
      </c>
      <c r="D65" s="422">
        <v>0</v>
      </c>
      <c r="E65" s="422">
        <v>49241.73</v>
      </c>
    </row>
    <row r="66" spans="1:5">
      <c r="A66" s="257" t="s">
        <v>622</v>
      </c>
      <c r="B66" s="421" t="s">
        <v>607</v>
      </c>
      <c r="C66" s="422">
        <v>29545.040000000001</v>
      </c>
      <c r="D66" s="422">
        <v>0</v>
      </c>
      <c r="E66" s="422">
        <v>29545.040000000001</v>
      </c>
    </row>
    <row r="68" spans="1:5">
      <c r="A68" s="434" t="s">
        <v>537</v>
      </c>
      <c r="B68" s="434"/>
      <c r="C68" s="434"/>
      <c r="D68" s="434"/>
      <c r="E68" s="434"/>
    </row>
    <row r="69" spans="1:5">
      <c r="A69" s="434" t="s">
        <v>318</v>
      </c>
      <c r="B69" s="434"/>
      <c r="C69" s="434"/>
      <c r="D69" s="434"/>
      <c r="E69" s="434"/>
    </row>
    <row r="70" spans="1:5">
      <c r="A70" s="436" t="s">
        <v>145</v>
      </c>
      <c r="B70" s="436"/>
      <c r="C70" s="438" t="s">
        <v>538</v>
      </c>
      <c r="D70" s="438"/>
      <c r="E70" s="438"/>
    </row>
    <row r="71" spans="1:5">
      <c r="A71" s="437"/>
      <c r="B71" s="437"/>
      <c r="C71" s="439" t="s">
        <v>539</v>
      </c>
      <c r="D71" s="439"/>
      <c r="E71" s="440" t="s">
        <v>540</v>
      </c>
    </row>
    <row r="72" spans="1:5">
      <c r="A72" s="436"/>
      <c r="B72" s="436"/>
      <c r="C72" s="420" t="s">
        <v>541</v>
      </c>
      <c r="D72" s="420" t="s">
        <v>542</v>
      </c>
      <c r="E72" s="441"/>
    </row>
    <row r="73" spans="1:5">
      <c r="A73" s="257" t="s">
        <v>623</v>
      </c>
      <c r="B73" s="421" t="s">
        <v>624</v>
      </c>
      <c r="C73" s="422">
        <v>1378438.67</v>
      </c>
      <c r="D73" s="422">
        <v>0</v>
      </c>
      <c r="E73" s="422">
        <v>1378438.67</v>
      </c>
    </row>
    <row r="74" spans="1:5">
      <c r="A74" s="257" t="s">
        <v>625</v>
      </c>
      <c r="B74" s="421" t="s">
        <v>626</v>
      </c>
      <c r="C74" s="422">
        <v>1356054.97</v>
      </c>
      <c r="D74" s="422">
        <v>0</v>
      </c>
      <c r="E74" s="422">
        <v>1356054.97</v>
      </c>
    </row>
    <row r="75" spans="1:5">
      <c r="A75" s="257" t="s">
        <v>627</v>
      </c>
      <c r="B75" s="421" t="s">
        <v>628</v>
      </c>
      <c r="C75" s="422">
        <v>813632.98</v>
      </c>
      <c r="D75" s="422">
        <v>0</v>
      </c>
      <c r="E75" s="422">
        <v>813632.98</v>
      </c>
    </row>
    <row r="76" spans="1:5">
      <c r="A76" s="257" t="s">
        <v>629</v>
      </c>
      <c r="B76" s="421" t="s">
        <v>630</v>
      </c>
      <c r="C76" s="422">
        <v>339013.74</v>
      </c>
      <c r="D76" s="422">
        <v>0</v>
      </c>
      <c r="E76" s="422">
        <v>339013.74</v>
      </c>
    </row>
    <row r="77" spans="1:5">
      <c r="A77" s="257" t="s">
        <v>631</v>
      </c>
      <c r="B77" s="421" t="s">
        <v>632</v>
      </c>
      <c r="C77" s="422">
        <v>203408.25</v>
      </c>
      <c r="D77" s="422">
        <v>0</v>
      </c>
      <c r="E77" s="422">
        <v>203408.25</v>
      </c>
    </row>
    <row r="78" spans="1:5">
      <c r="A78" s="257" t="s">
        <v>633</v>
      </c>
      <c r="B78" s="421" t="s">
        <v>634</v>
      </c>
      <c r="C78" s="422">
        <v>57.21</v>
      </c>
      <c r="D78" s="422">
        <v>0</v>
      </c>
      <c r="E78" s="422">
        <v>57.21</v>
      </c>
    </row>
    <row r="79" spans="1:5">
      <c r="A79" s="257" t="s">
        <v>635</v>
      </c>
      <c r="B79" s="421" t="s">
        <v>628</v>
      </c>
      <c r="C79" s="422">
        <v>34.33</v>
      </c>
      <c r="D79" s="422">
        <v>0</v>
      </c>
      <c r="E79" s="422">
        <v>34.33</v>
      </c>
    </row>
    <row r="80" spans="1:5">
      <c r="A80" s="257" t="s">
        <v>636</v>
      </c>
      <c r="B80" s="421" t="s">
        <v>630</v>
      </c>
      <c r="C80" s="422">
        <v>14.3</v>
      </c>
      <c r="D80" s="422">
        <v>0</v>
      </c>
      <c r="E80" s="422">
        <v>14.3</v>
      </c>
    </row>
    <row r="81" spans="1:5">
      <c r="A81" s="257" t="s">
        <v>637</v>
      </c>
      <c r="B81" s="421" t="s">
        <v>632</v>
      </c>
      <c r="C81" s="422">
        <v>8.58</v>
      </c>
      <c r="D81" s="422">
        <v>0</v>
      </c>
      <c r="E81" s="422">
        <v>8.58</v>
      </c>
    </row>
    <row r="82" spans="1:5">
      <c r="A82" s="257" t="s">
        <v>638</v>
      </c>
      <c r="B82" s="421" t="s">
        <v>639</v>
      </c>
      <c r="C82" s="422">
        <v>22072.65</v>
      </c>
      <c r="D82" s="422">
        <v>0</v>
      </c>
      <c r="E82" s="422">
        <v>22072.65</v>
      </c>
    </row>
    <row r="83" spans="1:5">
      <c r="A83" s="257" t="s">
        <v>640</v>
      </c>
      <c r="B83" s="421" t="s">
        <v>628</v>
      </c>
      <c r="C83" s="422">
        <v>13243.59</v>
      </c>
      <c r="D83" s="422">
        <v>0</v>
      </c>
      <c r="E83" s="422">
        <v>13243.59</v>
      </c>
    </row>
    <row r="84" spans="1:5">
      <c r="A84" s="257" t="s">
        <v>641</v>
      </c>
      <c r="B84" s="421" t="s">
        <v>630</v>
      </c>
      <c r="C84" s="422">
        <v>5518.16</v>
      </c>
      <c r="D84" s="422">
        <v>0</v>
      </c>
      <c r="E84" s="422">
        <v>5518.16</v>
      </c>
    </row>
    <row r="85" spans="1:5">
      <c r="A85" s="257" t="s">
        <v>642</v>
      </c>
      <c r="B85" s="421" t="s">
        <v>632</v>
      </c>
      <c r="C85" s="422">
        <v>3310.9</v>
      </c>
      <c r="D85" s="422">
        <v>0</v>
      </c>
      <c r="E85" s="422">
        <v>3310.9</v>
      </c>
    </row>
    <row r="86" spans="1:5">
      <c r="A86" s="257" t="s">
        <v>643</v>
      </c>
      <c r="B86" s="421" t="s">
        <v>644</v>
      </c>
      <c r="C86" s="422">
        <v>253.84</v>
      </c>
      <c r="D86" s="422">
        <v>0</v>
      </c>
      <c r="E86" s="422">
        <v>253.84</v>
      </c>
    </row>
    <row r="87" spans="1:5">
      <c r="A87" s="257" t="s">
        <v>645</v>
      </c>
      <c r="B87" s="421" t="s">
        <v>628</v>
      </c>
      <c r="C87" s="422">
        <v>152.30000000000001</v>
      </c>
      <c r="D87" s="422">
        <v>0</v>
      </c>
      <c r="E87" s="422">
        <v>152.30000000000001</v>
      </c>
    </row>
    <row r="88" spans="1:5">
      <c r="A88" s="257" t="s">
        <v>646</v>
      </c>
      <c r="B88" s="421" t="s">
        <v>630</v>
      </c>
      <c r="C88" s="422">
        <v>63.46</v>
      </c>
      <c r="D88" s="422">
        <v>0</v>
      </c>
      <c r="E88" s="422">
        <v>63.46</v>
      </c>
    </row>
    <row r="89" spans="1:5">
      <c r="A89" s="257" t="s">
        <v>647</v>
      </c>
      <c r="B89" s="421" t="s">
        <v>632</v>
      </c>
      <c r="C89" s="422">
        <v>38.08</v>
      </c>
      <c r="D89" s="422">
        <v>0</v>
      </c>
      <c r="E89" s="422">
        <v>38.08</v>
      </c>
    </row>
    <row r="90" spans="1:5">
      <c r="A90" s="257" t="s">
        <v>648</v>
      </c>
      <c r="B90" s="421" t="s">
        <v>649</v>
      </c>
      <c r="C90" s="422">
        <v>5816885.9100000001</v>
      </c>
      <c r="D90" s="422">
        <v>0</v>
      </c>
      <c r="E90" s="422">
        <v>5816885.9100000001</v>
      </c>
    </row>
    <row r="91" spans="1:5">
      <c r="A91" s="257" t="s">
        <v>650</v>
      </c>
      <c r="B91" s="421" t="s">
        <v>651</v>
      </c>
      <c r="C91" s="422">
        <v>5816885.9100000001</v>
      </c>
      <c r="D91" s="422">
        <v>0</v>
      </c>
      <c r="E91" s="422">
        <v>5816885.9100000001</v>
      </c>
    </row>
    <row r="92" spans="1:5">
      <c r="A92" s="257" t="s">
        <v>652</v>
      </c>
      <c r="B92" s="421" t="s">
        <v>653</v>
      </c>
      <c r="C92" s="422">
        <v>5691399.04</v>
      </c>
      <c r="D92" s="422">
        <v>0</v>
      </c>
      <c r="E92" s="422">
        <v>5691399.04</v>
      </c>
    </row>
    <row r="93" spans="1:5">
      <c r="A93" s="257" t="s">
        <v>654</v>
      </c>
      <c r="B93" s="421" t="s">
        <v>655</v>
      </c>
      <c r="C93" s="422">
        <v>3414839.42</v>
      </c>
      <c r="D93" s="422">
        <v>0</v>
      </c>
      <c r="E93" s="422">
        <v>3414839.42</v>
      </c>
    </row>
    <row r="94" spans="1:5">
      <c r="A94" s="257" t="s">
        <v>656</v>
      </c>
      <c r="B94" s="421" t="s">
        <v>657</v>
      </c>
      <c r="C94" s="422">
        <v>1422849.76</v>
      </c>
      <c r="D94" s="422">
        <v>0</v>
      </c>
      <c r="E94" s="422">
        <v>1422849.76</v>
      </c>
    </row>
    <row r="95" spans="1:5">
      <c r="A95" s="257" t="s">
        <v>658</v>
      </c>
      <c r="B95" s="421" t="s">
        <v>659</v>
      </c>
      <c r="C95" s="422">
        <v>853709.86</v>
      </c>
      <c r="D95" s="422">
        <v>0</v>
      </c>
      <c r="E95" s="422">
        <v>853709.86</v>
      </c>
    </row>
    <row r="96" spans="1:5">
      <c r="A96" s="257" t="s">
        <v>660</v>
      </c>
      <c r="B96" s="421" t="s">
        <v>661</v>
      </c>
      <c r="C96" s="422">
        <v>38916.92</v>
      </c>
      <c r="D96" s="422">
        <v>0</v>
      </c>
      <c r="E96" s="422">
        <v>38916.92</v>
      </c>
    </row>
    <row r="97" spans="1:5">
      <c r="A97" s="257" t="s">
        <v>662</v>
      </c>
      <c r="B97" s="421" t="s">
        <v>655</v>
      </c>
      <c r="C97" s="422">
        <v>23350.15</v>
      </c>
      <c r="D97" s="422">
        <v>0</v>
      </c>
      <c r="E97" s="422">
        <v>23350.15</v>
      </c>
    </row>
    <row r="98" spans="1:5">
      <c r="A98" s="257" t="s">
        <v>663</v>
      </c>
      <c r="B98" s="421" t="s">
        <v>657</v>
      </c>
      <c r="C98" s="422">
        <v>9729.23</v>
      </c>
      <c r="D98" s="422">
        <v>0</v>
      </c>
      <c r="E98" s="422">
        <v>9729.23</v>
      </c>
    </row>
    <row r="99" spans="1:5">
      <c r="A99" s="257" t="s">
        <v>664</v>
      </c>
      <c r="B99" s="421" t="s">
        <v>659</v>
      </c>
      <c r="C99" s="422">
        <v>5837.54</v>
      </c>
      <c r="D99" s="422">
        <v>0</v>
      </c>
      <c r="E99" s="422">
        <v>5837.54</v>
      </c>
    </row>
    <row r="100" spans="1:5">
      <c r="A100" s="257" t="s">
        <v>665</v>
      </c>
      <c r="B100" s="421" t="s">
        <v>666</v>
      </c>
      <c r="C100" s="422">
        <v>67079.210000000006</v>
      </c>
      <c r="D100" s="422">
        <v>0</v>
      </c>
      <c r="E100" s="422">
        <v>67079.210000000006</v>
      </c>
    </row>
    <row r="101" spans="1:5">
      <c r="A101" s="257" t="s">
        <v>667</v>
      </c>
      <c r="B101" s="421" t="s">
        <v>655</v>
      </c>
      <c r="C101" s="422">
        <v>40247.53</v>
      </c>
      <c r="D101" s="422">
        <v>0</v>
      </c>
      <c r="E101" s="422">
        <v>40247.53</v>
      </c>
    </row>
    <row r="102" spans="1:5">
      <c r="A102" s="257" t="s">
        <v>668</v>
      </c>
      <c r="B102" s="421" t="s">
        <v>657</v>
      </c>
      <c r="C102" s="422">
        <v>16769.8</v>
      </c>
      <c r="D102" s="422">
        <v>0</v>
      </c>
      <c r="E102" s="422">
        <v>16769.8</v>
      </c>
    </row>
    <row r="103" spans="1:5">
      <c r="A103" s="257" t="s">
        <v>669</v>
      </c>
      <c r="B103" s="421" t="s">
        <v>659</v>
      </c>
      <c r="C103" s="422">
        <v>10061.879999999999</v>
      </c>
      <c r="D103" s="422">
        <v>0</v>
      </c>
      <c r="E103" s="422">
        <v>10061.879999999999</v>
      </c>
    </row>
    <row r="104" spans="1:5">
      <c r="A104" s="257" t="s">
        <v>670</v>
      </c>
      <c r="B104" s="421" t="s">
        <v>671</v>
      </c>
      <c r="C104" s="422">
        <v>19490.740000000002</v>
      </c>
      <c r="D104" s="422">
        <v>0</v>
      </c>
      <c r="E104" s="422">
        <v>19490.740000000002</v>
      </c>
    </row>
    <row r="105" spans="1:5">
      <c r="A105" s="257" t="s">
        <v>672</v>
      </c>
      <c r="B105" s="421" t="s">
        <v>655</v>
      </c>
      <c r="C105" s="422">
        <v>10149.26</v>
      </c>
      <c r="D105" s="422">
        <v>0</v>
      </c>
      <c r="E105" s="422">
        <v>10149.26</v>
      </c>
    </row>
    <row r="106" spans="1:5">
      <c r="A106" s="257" t="s">
        <v>673</v>
      </c>
      <c r="B106" s="421" t="s">
        <v>657</v>
      </c>
      <c r="C106" s="422">
        <v>4228.8599999999997</v>
      </c>
      <c r="D106" s="422">
        <v>0</v>
      </c>
      <c r="E106" s="422">
        <v>4228.8599999999997</v>
      </c>
    </row>
    <row r="107" spans="1:5">
      <c r="A107" s="257" t="s">
        <v>674</v>
      </c>
      <c r="B107" s="421" t="s">
        <v>659</v>
      </c>
      <c r="C107" s="422">
        <v>5112.62</v>
      </c>
      <c r="D107" s="422">
        <v>0</v>
      </c>
      <c r="E107" s="422">
        <v>5112.62</v>
      </c>
    </row>
    <row r="108" spans="1:5">
      <c r="A108" s="257" t="s">
        <v>675</v>
      </c>
      <c r="B108" s="421" t="s">
        <v>676</v>
      </c>
      <c r="C108" s="422">
        <v>1585433.43</v>
      </c>
      <c r="D108" s="422">
        <v>0</v>
      </c>
      <c r="E108" s="422">
        <v>1585433.43</v>
      </c>
    </row>
    <row r="109" spans="1:5">
      <c r="A109" s="257" t="s">
        <v>677</v>
      </c>
      <c r="B109" s="421" t="s">
        <v>678</v>
      </c>
      <c r="C109" s="422">
        <v>1585433.43</v>
      </c>
      <c r="D109" s="422">
        <v>0</v>
      </c>
      <c r="E109" s="422">
        <v>1585433.43</v>
      </c>
    </row>
    <row r="110" spans="1:5">
      <c r="A110" s="257" t="s">
        <v>679</v>
      </c>
      <c r="B110" s="421" t="s">
        <v>680</v>
      </c>
      <c r="C110" s="422">
        <v>1508361.82</v>
      </c>
      <c r="D110" s="422">
        <v>0</v>
      </c>
      <c r="E110" s="422">
        <v>1508361.82</v>
      </c>
    </row>
    <row r="111" spans="1:5">
      <c r="A111" s="257" t="s">
        <v>681</v>
      </c>
      <c r="B111" s="421" t="s">
        <v>682</v>
      </c>
      <c r="C111" s="422">
        <v>299123.96000000002</v>
      </c>
      <c r="D111" s="422">
        <v>0</v>
      </c>
      <c r="E111" s="422">
        <v>299123.96000000002</v>
      </c>
    </row>
    <row r="112" spans="1:5">
      <c r="A112" s="257" t="s">
        <v>683</v>
      </c>
      <c r="B112" s="421" t="s">
        <v>684</v>
      </c>
      <c r="C112" s="422">
        <v>276329.28000000003</v>
      </c>
      <c r="D112" s="422">
        <v>0</v>
      </c>
      <c r="E112" s="422">
        <v>276329.28000000003</v>
      </c>
    </row>
    <row r="113" spans="1:5">
      <c r="A113" s="257" t="s">
        <v>685</v>
      </c>
      <c r="B113" s="421" t="s">
        <v>686</v>
      </c>
      <c r="C113" s="422">
        <v>124804.75</v>
      </c>
      <c r="D113" s="422">
        <v>0</v>
      </c>
      <c r="E113" s="422">
        <v>124804.75</v>
      </c>
    </row>
    <row r="114" spans="1:5">
      <c r="A114" s="257" t="s">
        <v>687</v>
      </c>
      <c r="B114" s="421" t="s">
        <v>688</v>
      </c>
      <c r="C114" s="422">
        <v>1962.55</v>
      </c>
      <c r="D114" s="422">
        <v>0</v>
      </c>
      <c r="E114" s="422">
        <v>1962.55</v>
      </c>
    </row>
    <row r="115" spans="1:5">
      <c r="A115" s="257" t="s">
        <v>689</v>
      </c>
      <c r="B115" s="421" t="s">
        <v>690</v>
      </c>
      <c r="C115" s="422">
        <v>1148</v>
      </c>
      <c r="D115" s="422">
        <v>0</v>
      </c>
      <c r="E115" s="422">
        <v>1148</v>
      </c>
    </row>
    <row r="116" spans="1:5">
      <c r="A116" s="257" t="s">
        <v>691</v>
      </c>
      <c r="B116" s="421" t="s">
        <v>686</v>
      </c>
      <c r="C116" s="422">
        <v>1047.31</v>
      </c>
      <c r="D116" s="422">
        <v>0</v>
      </c>
      <c r="E116" s="422">
        <v>1047.31</v>
      </c>
    </row>
    <row r="117" spans="1:5">
      <c r="A117" s="257" t="s">
        <v>692</v>
      </c>
      <c r="B117" s="421" t="s">
        <v>693</v>
      </c>
      <c r="C117" s="422">
        <v>96.65</v>
      </c>
      <c r="D117" s="422">
        <v>0</v>
      </c>
      <c r="E117" s="422">
        <v>96.65</v>
      </c>
    </row>
    <row r="118" spans="1:5">
      <c r="A118" s="257" t="s">
        <v>694</v>
      </c>
      <c r="B118" s="421" t="s">
        <v>695</v>
      </c>
      <c r="C118" s="422">
        <v>4.04</v>
      </c>
      <c r="D118" s="422">
        <v>0</v>
      </c>
      <c r="E118" s="422">
        <v>4.04</v>
      </c>
    </row>
    <row r="119" spans="1:5">
      <c r="A119" s="257" t="s">
        <v>696</v>
      </c>
      <c r="B119" s="421" t="s">
        <v>697</v>
      </c>
      <c r="C119" s="422">
        <v>16885.12</v>
      </c>
      <c r="D119" s="422">
        <v>0</v>
      </c>
      <c r="E119" s="422">
        <v>16885.12</v>
      </c>
    </row>
    <row r="120" spans="1:5">
      <c r="A120" s="257" t="s">
        <v>698</v>
      </c>
      <c r="B120" s="421" t="s">
        <v>686</v>
      </c>
      <c r="C120" s="422">
        <v>11882.7</v>
      </c>
      <c r="D120" s="422">
        <v>0</v>
      </c>
      <c r="E120" s="422">
        <v>11882.7</v>
      </c>
    </row>
    <row r="121" spans="1:5">
      <c r="A121" s="257" t="s">
        <v>699</v>
      </c>
      <c r="B121" s="421" t="s">
        <v>693</v>
      </c>
      <c r="C121" s="422">
        <v>5002.42</v>
      </c>
      <c r="D121" s="422">
        <v>0</v>
      </c>
      <c r="E121" s="422">
        <v>5002.42</v>
      </c>
    </row>
    <row r="122" spans="1:5">
      <c r="A122" s="257" t="s">
        <v>700</v>
      </c>
      <c r="B122" s="421" t="s">
        <v>701</v>
      </c>
      <c r="C122" s="422">
        <v>4761.5600000000004</v>
      </c>
      <c r="D122" s="422">
        <v>0</v>
      </c>
      <c r="E122" s="422">
        <v>4761.5600000000004</v>
      </c>
    </row>
    <row r="123" spans="1:5">
      <c r="A123" s="257" t="s">
        <v>702</v>
      </c>
      <c r="B123" s="421" t="s">
        <v>686</v>
      </c>
      <c r="C123" s="422">
        <v>2611.34</v>
      </c>
      <c r="D123" s="422">
        <v>0</v>
      </c>
      <c r="E123" s="422">
        <v>2611.34</v>
      </c>
    </row>
    <row r="124" spans="1:5">
      <c r="A124" s="257" t="s">
        <v>703</v>
      </c>
      <c r="B124" s="421" t="s">
        <v>693</v>
      </c>
      <c r="C124" s="422">
        <v>2150.2199999999998</v>
      </c>
      <c r="D124" s="422">
        <v>0</v>
      </c>
      <c r="E124" s="422">
        <v>2150.2199999999998</v>
      </c>
    </row>
    <row r="125" spans="1:5">
      <c r="A125" s="257" t="s">
        <v>704</v>
      </c>
      <c r="B125" s="421" t="s">
        <v>705</v>
      </c>
      <c r="C125" s="422">
        <v>1209237.8600000001</v>
      </c>
      <c r="D125" s="422">
        <v>0</v>
      </c>
      <c r="E125" s="422">
        <v>1209237.8600000001</v>
      </c>
    </row>
    <row r="126" spans="1:5">
      <c r="A126" s="257" t="s">
        <v>706</v>
      </c>
      <c r="B126" s="421" t="s">
        <v>707</v>
      </c>
      <c r="C126" s="422">
        <v>1161012.79</v>
      </c>
      <c r="D126" s="422">
        <v>0</v>
      </c>
      <c r="E126" s="422">
        <v>1161012.79</v>
      </c>
    </row>
    <row r="128" spans="1:5">
      <c r="A128" s="434" t="s">
        <v>537</v>
      </c>
      <c r="B128" s="434"/>
      <c r="C128" s="434"/>
      <c r="D128" s="434"/>
      <c r="E128" s="434"/>
    </row>
    <row r="129" spans="1:5">
      <c r="A129" s="434" t="s">
        <v>318</v>
      </c>
      <c r="B129" s="434"/>
      <c r="C129" s="434"/>
      <c r="D129" s="434"/>
      <c r="E129" s="434"/>
    </row>
    <row r="130" spans="1:5">
      <c r="A130" s="436" t="s">
        <v>145</v>
      </c>
      <c r="B130" s="436"/>
      <c r="C130" s="438" t="s">
        <v>538</v>
      </c>
      <c r="D130" s="438"/>
      <c r="E130" s="438"/>
    </row>
    <row r="131" spans="1:5">
      <c r="A131" s="437"/>
      <c r="B131" s="437"/>
      <c r="C131" s="439" t="s">
        <v>539</v>
      </c>
      <c r="D131" s="439"/>
      <c r="E131" s="440" t="s">
        <v>540</v>
      </c>
    </row>
    <row r="132" spans="1:5">
      <c r="A132" s="436"/>
      <c r="B132" s="436"/>
      <c r="C132" s="420" t="s">
        <v>541</v>
      </c>
      <c r="D132" s="420" t="s">
        <v>542</v>
      </c>
      <c r="E132" s="441"/>
    </row>
    <row r="133" spans="1:5">
      <c r="A133" s="257" t="s">
        <v>708</v>
      </c>
      <c r="B133" s="421" t="s">
        <v>709</v>
      </c>
      <c r="C133" s="422">
        <v>368357.67</v>
      </c>
      <c r="D133" s="422">
        <v>0</v>
      </c>
      <c r="E133" s="422">
        <v>368357.67</v>
      </c>
    </row>
    <row r="134" spans="1:5">
      <c r="A134" s="257" t="s">
        <v>710</v>
      </c>
      <c r="B134" s="421" t="s">
        <v>711</v>
      </c>
      <c r="C134" s="422">
        <v>12334.32</v>
      </c>
      <c r="D134" s="422">
        <v>0</v>
      </c>
      <c r="E134" s="422">
        <v>12334.32</v>
      </c>
    </row>
    <row r="135" spans="1:5">
      <c r="A135" s="257" t="s">
        <v>712</v>
      </c>
      <c r="B135" s="421" t="s">
        <v>713</v>
      </c>
      <c r="C135" s="422">
        <v>674.11</v>
      </c>
      <c r="D135" s="422">
        <v>0</v>
      </c>
      <c r="E135" s="422">
        <v>674.11</v>
      </c>
    </row>
    <row r="136" spans="1:5">
      <c r="A136" s="257" t="s">
        <v>714</v>
      </c>
      <c r="B136" s="421" t="s">
        <v>715</v>
      </c>
      <c r="C136" s="422">
        <v>93418.65</v>
      </c>
      <c r="D136" s="422">
        <v>0</v>
      </c>
      <c r="E136" s="422">
        <v>93418.65</v>
      </c>
    </row>
    <row r="137" spans="1:5">
      <c r="A137" s="257" t="s">
        <v>716</v>
      </c>
      <c r="B137" s="421" t="s">
        <v>693</v>
      </c>
      <c r="C137" s="422">
        <v>66196.990000000005</v>
      </c>
      <c r="D137" s="422">
        <v>0</v>
      </c>
      <c r="E137" s="422">
        <v>66196.990000000005</v>
      </c>
    </row>
    <row r="138" spans="1:5">
      <c r="A138" s="257" t="s">
        <v>717</v>
      </c>
      <c r="B138" s="421" t="s">
        <v>695</v>
      </c>
      <c r="C138" s="422">
        <v>15412.12</v>
      </c>
      <c r="D138" s="422">
        <v>0</v>
      </c>
      <c r="E138" s="422">
        <v>15412.12</v>
      </c>
    </row>
    <row r="139" spans="1:5">
      <c r="A139" s="257" t="s">
        <v>718</v>
      </c>
      <c r="B139" s="421" t="s">
        <v>719</v>
      </c>
      <c r="C139" s="422">
        <v>8194.68</v>
      </c>
      <c r="D139" s="422">
        <v>0</v>
      </c>
      <c r="E139" s="422">
        <v>8194.68</v>
      </c>
    </row>
    <row r="140" spans="1:5">
      <c r="A140" s="257" t="s">
        <v>720</v>
      </c>
      <c r="B140" s="421" t="s">
        <v>709</v>
      </c>
      <c r="C140" s="422">
        <v>8193.2000000000007</v>
      </c>
      <c r="D140" s="422">
        <v>0</v>
      </c>
      <c r="E140" s="422">
        <v>8193.2000000000007</v>
      </c>
    </row>
    <row r="141" spans="1:5">
      <c r="A141" s="257" t="s">
        <v>721</v>
      </c>
      <c r="B141" s="421" t="s">
        <v>711</v>
      </c>
      <c r="C141" s="422">
        <v>1.48</v>
      </c>
      <c r="D141" s="422">
        <v>0</v>
      </c>
      <c r="E141" s="422">
        <v>1.48</v>
      </c>
    </row>
    <row r="142" spans="1:5">
      <c r="A142" s="257" t="s">
        <v>722</v>
      </c>
      <c r="B142" s="421" t="s">
        <v>723</v>
      </c>
      <c r="C142" s="422">
        <v>30948.9</v>
      </c>
      <c r="D142" s="422">
        <v>0</v>
      </c>
      <c r="E142" s="422">
        <v>30948.9</v>
      </c>
    </row>
    <row r="143" spans="1:5">
      <c r="A143" s="257" t="s">
        <v>724</v>
      </c>
      <c r="B143" s="421" t="s">
        <v>709</v>
      </c>
      <c r="C143" s="422">
        <v>30948.9</v>
      </c>
      <c r="D143" s="422">
        <v>0</v>
      </c>
      <c r="E143" s="422">
        <v>30948.9</v>
      </c>
    </row>
    <row r="144" spans="1:5">
      <c r="A144" s="257" t="s">
        <v>725</v>
      </c>
      <c r="B144" s="421" t="s">
        <v>726</v>
      </c>
      <c r="C144" s="422">
        <v>9081.49</v>
      </c>
      <c r="D144" s="422">
        <v>0</v>
      </c>
      <c r="E144" s="422">
        <v>9081.49</v>
      </c>
    </row>
    <row r="145" spans="1:5">
      <c r="A145" s="257" t="s">
        <v>727</v>
      </c>
      <c r="B145" s="421" t="s">
        <v>709</v>
      </c>
      <c r="C145" s="422">
        <v>9081.49</v>
      </c>
      <c r="D145" s="422">
        <v>0</v>
      </c>
      <c r="E145" s="422">
        <v>9081.49</v>
      </c>
    </row>
    <row r="146" spans="1:5">
      <c r="A146" s="257" t="s">
        <v>728</v>
      </c>
      <c r="B146" s="421" t="s">
        <v>729</v>
      </c>
      <c r="C146" s="422">
        <v>77071.61</v>
      </c>
      <c r="D146" s="422">
        <v>0</v>
      </c>
      <c r="E146" s="422">
        <v>77071.61</v>
      </c>
    </row>
    <row r="147" spans="1:5">
      <c r="A147" s="257" t="s">
        <v>730</v>
      </c>
      <c r="B147" s="421" t="s">
        <v>731</v>
      </c>
      <c r="C147" s="422">
        <v>77071.61</v>
      </c>
      <c r="D147" s="422">
        <v>0</v>
      </c>
      <c r="E147" s="422">
        <v>77071.61</v>
      </c>
    </row>
    <row r="148" spans="1:5">
      <c r="A148" s="257" t="s">
        <v>732</v>
      </c>
      <c r="B148" s="421" t="s">
        <v>733</v>
      </c>
      <c r="C148" s="422">
        <v>69899.95</v>
      </c>
      <c r="D148" s="422">
        <v>0</v>
      </c>
      <c r="E148" s="422">
        <v>69899.95</v>
      </c>
    </row>
    <row r="149" spans="1:5">
      <c r="A149" s="257" t="s">
        <v>734</v>
      </c>
      <c r="B149" s="421" t="s">
        <v>735</v>
      </c>
      <c r="C149" s="422">
        <v>19557.28</v>
      </c>
      <c r="D149" s="422">
        <v>0</v>
      </c>
      <c r="E149" s="422">
        <v>19557.28</v>
      </c>
    </row>
    <row r="150" spans="1:5">
      <c r="A150" s="257" t="s">
        <v>736</v>
      </c>
      <c r="B150" s="421" t="s">
        <v>737</v>
      </c>
      <c r="C150" s="422">
        <v>2076.44</v>
      </c>
      <c r="D150" s="422">
        <v>0</v>
      </c>
      <c r="E150" s="422">
        <v>2076.44</v>
      </c>
    </row>
    <row r="151" spans="1:5">
      <c r="A151" s="257" t="s">
        <v>738</v>
      </c>
      <c r="B151" s="421" t="s">
        <v>739</v>
      </c>
      <c r="C151" s="422">
        <v>48265.87</v>
      </c>
      <c r="D151" s="422">
        <v>0</v>
      </c>
      <c r="E151" s="422">
        <v>48265.87</v>
      </c>
    </row>
    <row r="152" spans="1:5">
      <c r="A152" s="257" t="s">
        <v>740</v>
      </c>
      <c r="B152" s="421" t="s">
        <v>741</v>
      </c>
      <c r="C152" s="422">
        <v>0.36</v>
      </c>
      <c r="D152" s="422">
        <v>0</v>
      </c>
      <c r="E152" s="422">
        <v>0.36</v>
      </c>
    </row>
    <row r="153" spans="1:5">
      <c r="A153" s="257" t="s">
        <v>742</v>
      </c>
      <c r="B153" s="421" t="s">
        <v>743</v>
      </c>
      <c r="C153" s="422">
        <v>5898.26</v>
      </c>
      <c r="D153" s="422">
        <v>0</v>
      </c>
      <c r="E153" s="422">
        <v>5898.26</v>
      </c>
    </row>
    <row r="154" spans="1:5">
      <c r="A154" s="257" t="s">
        <v>744</v>
      </c>
      <c r="B154" s="421" t="s">
        <v>735</v>
      </c>
      <c r="C154" s="422">
        <v>47.86</v>
      </c>
      <c r="D154" s="422">
        <v>0</v>
      </c>
      <c r="E154" s="422">
        <v>47.86</v>
      </c>
    </row>
    <row r="155" spans="1:5">
      <c r="A155" s="257" t="s">
        <v>745</v>
      </c>
      <c r="B155" s="421" t="s">
        <v>739</v>
      </c>
      <c r="C155" s="422">
        <v>5850.4</v>
      </c>
      <c r="D155" s="422">
        <v>0</v>
      </c>
      <c r="E155" s="422">
        <v>5850.4</v>
      </c>
    </row>
    <row r="156" spans="1:5">
      <c r="A156" s="257" t="s">
        <v>746</v>
      </c>
      <c r="B156" s="421" t="s">
        <v>747</v>
      </c>
      <c r="C156" s="422">
        <v>1152.82</v>
      </c>
      <c r="D156" s="422">
        <v>0</v>
      </c>
      <c r="E156" s="422">
        <v>1152.82</v>
      </c>
    </row>
    <row r="157" spans="1:5">
      <c r="A157" s="257" t="s">
        <v>748</v>
      </c>
      <c r="B157" s="421" t="s">
        <v>737</v>
      </c>
      <c r="C157" s="422">
        <v>77.59</v>
      </c>
      <c r="D157" s="422">
        <v>0</v>
      </c>
      <c r="E157" s="422">
        <v>77.59</v>
      </c>
    </row>
    <row r="158" spans="1:5">
      <c r="A158" s="257" t="s">
        <v>749</v>
      </c>
      <c r="B158" s="421" t="s">
        <v>739</v>
      </c>
      <c r="C158" s="422">
        <v>1063.75</v>
      </c>
      <c r="D158" s="422">
        <v>0</v>
      </c>
      <c r="E158" s="422">
        <v>1063.75</v>
      </c>
    </row>
    <row r="159" spans="1:5">
      <c r="A159" s="257" t="s">
        <v>750</v>
      </c>
      <c r="B159" s="421" t="s">
        <v>741</v>
      </c>
      <c r="C159" s="422">
        <v>11.48</v>
      </c>
      <c r="D159" s="422">
        <v>0</v>
      </c>
      <c r="E159" s="422">
        <v>11.48</v>
      </c>
    </row>
    <row r="160" spans="1:5">
      <c r="A160" s="257" t="s">
        <v>751</v>
      </c>
      <c r="B160" s="421" t="s">
        <v>752</v>
      </c>
      <c r="C160" s="422">
        <v>120.58</v>
      </c>
      <c r="D160" s="422">
        <v>0</v>
      </c>
      <c r="E160" s="422">
        <v>120.58</v>
      </c>
    </row>
    <row r="161" spans="1:5">
      <c r="A161" s="257" t="s">
        <v>753</v>
      </c>
      <c r="B161" s="421" t="s">
        <v>737</v>
      </c>
      <c r="C161" s="422">
        <v>2.33</v>
      </c>
      <c r="D161" s="422">
        <v>0</v>
      </c>
      <c r="E161" s="422">
        <v>2.33</v>
      </c>
    </row>
    <row r="162" spans="1:5">
      <c r="A162" s="257" t="s">
        <v>754</v>
      </c>
      <c r="B162" s="421" t="s">
        <v>739</v>
      </c>
      <c r="C162" s="422">
        <v>94.25</v>
      </c>
      <c r="D162" s="422">
        <v>0</v>
      </c>
      <c r="E162" s="422">
        <v>94.25</v>
      </c>
    </row>
    <row r="163" spans="1:5">
      <c r="A163" s="257" t="s">
        <v>755</v>
      </c>
      <c r="B163" s="421" t="s">
        <v>741</v>
      </c>
      <c r="C163" s="422">
        <v>24</v>
      </c>
      <c r="D163" s="422">
        <v>0</v>
      </c>
      <c r="E163" s="422">
        <v>24</v>
      </c>
    </row>
    <row r="164" spans="1:5">
      <c r="A164" s="257" t="s">
        <v>756</v>
      </c>
      <c r="B164" s="421" t="s">
        <v>757</v>
      </c>
      <c r="C164" s="422">
        <v>1148.81</v>
      </c>
      <c r="D164" s="422">
        <v>0</v>
      </c>
      <c r="E164" s="422">
        <v>1148.81</v>
      </c>
    </row>
    <row r="165" spans="1:5">
      <c r="A165" s="257" t="s">
        <v>758</v>
      </c>
      <c r="B165" s="421" t="s">
        <v>759</v>
      </c>
      <c r="C165" s="422">
        <v>1148.81</v>
      </c>
      <c r="D165" s="422">
        <v>0</v>
      </c>
      <c r="E165" s="422">
        <v>1148.81</v>
      </c>
    </row>
    <row r="166" spans="1:5">
      <c r="A166" s="257" t="s">
        <v>760</v>
      </c>
      <c r="B166" s="421" t="s">
        <v>761</v>
      </c>
      <c r="C166" s="422">
        <v>1148.81</v>
      </c>
      <c r="D166" s="422">
        <v>0</v>
      </c>
      <c r="E166" s="422">
        <v>1148.81</v>
      </c>
    </row>
    <row r="167" spans="1:5">
      <c r="A167" s="257" t="s">
        <v>762</v>
      </c>
      <c r="B167" s="421" t="s">
        <v>761</v>
      </c>
      <c r="C167" s="422">
        <v>1148.81</v>
      </c>
      <c r="D167" s="422">
        <v>0</v>
      </c>
      <c r="E167" s="422">
        <v>1148.81</v>
      </c>
    </row>
    <row r="168" spans="1:5">
      <c r="A168" s="257" t="s">
        <v>763</v>
      </c>
      <c r="B168" s="421" t="s">
        <v>764</v>
      </c>
      <c r="C168" s="422">
        <v>1148.81</v>
      </c>
      <c r="D168" s="422">
        <v>0</v>
      </c>
      <c r="E168" s="422">
        <v>1148.81</v>
      </c>
    </row>
    <row r="169" spans="1:5">
      <c r="A169" s="257" t="s">
        <v>765</v>
      </c>
      <c r="B169" s="421" t="s">
        <v>766</v>
      </c>
      <c r="C169" s="422">
        <v>1148.81</v>
      </c>
      <c r="D169" s="422">
        <v>0</v>
      </c>
      <c r="E169" s="422">
        <v>1148.81</v>
      </c>
    </row>
    <row r="170" spans="1:5">
      <c r="A170" s="257" t="s">
        <v>767</v>
      </c>
      <c r="B170" s="421" t="s">
        <v>768</v>
      </c>
      <c r="C170" s="422">
        <v>8138213.4199999999</v>
      </c>
      <c r="D170" s="422">
        <v>0</v>
      </c>
      <c r="E170" s="422">
        <v>8138213.4199999999</v>
      </c>
    </row>
    <row r="171" spans="1:5">
      <c r="A171" s="257" t="s">
        <v>769</v>
      </c>
      <c r="B171" s="421" t="s">
        <v>770</v>
      </c>
      <c r="C171" s="422">
        <v>6974325</v>
      </c>
      <c r="D171" s="422">
        <v>0</v>
      </c>
      <c r="E171" s="422">
        <v>6974325</v>
      </c>
    </row>
    <row r="172" spans="1:5">
      <c r="A172" s="257" t="s">
        <v>771</v>
      </c>
      <c r="B172" s="421" t="s">
        <v>772</v>
      </c>
      <c r="C172" s="422">
        <v>5297906.57</v>
      </c>
      <c r="D172" s="422">
        <v>0</v>
      </c>
      <c r="E172" s="422">
        <v>5297906.57</v>
      </c>
    </row>
    <row r="173" spans="1:5">
      <c r="A173" s="257" t="s">
        <v>773</v>
      </c>
      <c r="B173" s="421" t="s">
        <v>774</v>
      </c>
      <c r="C173" s="422">
        <v>5282264.93</v>
      </c>
      <c r="D173" s="422">
        <v>0</v>
      </c>
      <c r="E173" s="422">
        <v>5282264.93</v>
      </c>
    </row>
    <row r="174" spans="1:5">
      <c r="A174" s="257" t="s">
        <v>775</v>
      </c>
      <c r="B174" s="421" t="s">
        <v>776</v>
      </c>
      <c r="C174" s="422">
        <v>3989813.88</v>
      </c>
      <c r="D174" s="422">
        <v>0</v>
      </c>
      <c r="E174" s="422">
        <v>3989813.88</v>
      </c>
    </row>
    <row r="175" spans="1:5">
      <c r="A175" s="257" t="s">
        <v>777</v>
      </c>
      <c r="B175" s="421" t="s">
        <v>323</v>
      </c>
      <c r="C175" s="422">
        <v>3989813.88</v>
      </c>
      <c r="D175" s="422">
        <v>0</v>
      </c>
      <c r="E175" s="422">
        <v>3989813.88</v>
      </c>
    </row>
    <row r="176" spans="1:5">
      <c r="A176" s="257" t="s">
        <v>778</v>
      </c>
      <c r="B176" s="421" t="s">
        <v>779</v>
      </c>
      <c r="C176" s="422">
        <v>1218037.33</v>
      </c>
      <c r="D176" s="422">
        <v>0</v>
      </c>
      <c r="E176" s="422">
        <v>1218037.33</v>
      </c>
    </row>
    <row r="177" spans="1:5">
      <c r="A177" s="257" t="s">
        <v>780</v>
      </c>
      <c r="B177" s="421" t="s">
        <v>325</v>
      </c>
      <c r="C177" s="422">
        <v>1218037.33</v>
      </c>
      <c r="D177" s="422">
        <v>0</v>
      </c>
      <c r="E177" s="422">
        <v>1218037.33</v>
      </c>
    </row>
    <row r="178" spans="1:5">
      <c r="A178" s="257" t="s">
        <v>781</v>
      </c>
      <c r="B178" s="421" t="s">
        <v>782</v>
      </c>
      <c r="C178" s="422">
        <v>74413.72</v>
      </c>
      <c r="D178" s="422">
        <v>0</v>
      </c>
      <c r="E178" s="422">
        <v>74413.72</v>
      </c>
    </row>
    <row r="179" spans="1:5">
      <c r="A179" s="257" t="s">
        <v>783</v>
      </c>
      <c r="B179" s="421" t="s">
        <v>327</v>
      </c>
      <c r="C179" s="422">
        <v>74413.72</v>
      </c>
      <c r="D179" s="422">
        <v>0</v>
      </c>
      <c r="E179" s="422">
        <v>74413.72</v>
      </c>
    </row>
    <row r="180" spans="1:5">
      <c r="A180" s="257" t="s">
        <v>784</v>
      </c>
      <c r="B180" s="421" t="s">
        <v>785</v>
      </c>
      <c r="C180" s="422">
        <v>15641.64</v>
      </c>
      <c r="D180" s="422">
        <v>0</v>
      </c>
      <c r="E180" s="422">
        <v>15641.64</v>
      </c>
    </row>
    <row r="181" spans="1:5">
      <c r="A181" s="257" t="s">
        <v>786</v>
      </c>
      <c r="B181" s="421" t="s">
        <v>787</v>
      </c>
      <c r="C181" s="422">
        <v>15641.64</v>
      </c>
      <c r="D181" s="422">
        <v>0</v>
      </c>
      <c r="E181" s="422">
        <v>15641.64</v>
      </c>
    </row>
    <row r="182" spans="1:5">
      <c r="A182" s="257" t="s">
        <v>788</v>
      </c>
      <c r="B182" s="421" t="s">
        <v>329</v>
      </c>
      <c r="C182" s="422">
        <v>15641.64</v>
      </c>
      <c r="D182" s="422">
        <v>0</v>
      </c>
      <c r="E182" s="422">
        <v>15641.64</v>
      </c>
    </row>
    <row r="183" spans="1:5">
      <c r="A183" s="257" t="s">
        <v>789</v>
      </c>
      <c r="B183" s="421" t="s">
        <v>790</v>
      </c>
      <c r="C183" s="422">
        <v>1676418.43</v>
      </c>
      <c r="D183" s="422">
        <v>0</v>
      </c>
      <c r="E183" s="422">
        <v>1676418.43</v>
      </c>
    </row>
    <row r="184" spans="1:5">
      <c r="A184" s="257" t="s">
        <v>791</v>
      </c>
      <c r="B184" s="421" t="s">
        <v>792</v>
      </c>
      <c r="C184" s="422">
        <v>1676418.43</v>
      </c>
      <c r="D184" s="422">
        <v>0</v>
      </c>
      <c r="E184" s="422">
        <v>1676418.43</v>
      </c>
    </row>
    <row r="185" spans="1:5">
      <c r="A185" s="257" t="s">
        <v>793</v>
      </c>
      <c r="B185" s="421" t="s">
        <v>792</v>
      </c>
      <c r="C185" s="422">
        <v>1676418.43</v>
      </c>
      <c r="D185" s="422">
        <v>0</v>
      </c>
      <c r="E185" s="422">
        <v>1676418.43</v>
      </c>
    </row>
    <row r="186" spans="1:5">
      <c r="A186" s="257" t="s">
        <v>794</v>
      </c>
      <c r="B186" s="421" t="s">
        <v>795</v>
      </c>
      <c r="C186" s="422">
        <v>1676418.43</v>
      </c>
      <c r="D186" s="422">
        <v>0</v>
      </c>
      <c r="E186" s="422">
        <v>1676418.43</v>
      </c>
    </row>
    <row r="188" spans="1:5">
      <c r="A188" s="434" t="s">
        <v>537</v>
      </c>
      <c r="B188" s="434"/>
      <c r="C188" s="434"/>
      <c r="D188" s="434"/>
      <c r="E188" s="434"/>
    </row>
    <row r="189" spans="1:5">
      <c r="A189" s="434" t="s">
        <v>318</v>
      </c>
      <c r="B189" s="434"/>
      <c r="C189" s="434"/>
      <c r="D189" s="434"/>
      <c r="E189" s="434"/>
    </row>
    <row r="190" spans="1:5">
      <c r="A190" s="436" t="s">
        <v>145</v>
      </c>
      <c r="B190" s="436"/>
      <c r="C190" s="438" t="s">
        <v>538</v>
      </c>
      <c r="D190" s="438"/>
      <c r="E190" s="438"/>
    </row>
    <row r="191" spans="1:5">
      <c r="A191" s="437"/>
      <c r="B191" s="437"/>
      <c r="C191" s="439" t="s">
        <v>539</v>
      </c>
      <c r="D191" s="439"/>
      <c r="E191" s="440" t="s">
        <v>540</v>
      </c>
    </row>
    <row r="192" spans="1:5">
      <c r="A192" s="436"/>
      <c r="B192" s="436"/>
      <c r="C192" s="420" t="s">
        <v>541</v>
      </c>
      <c r="D192" s="420" t="s">
        <v>542</v>
      </c>
      <c r="E192" s="441"/>
    </row>
    <row r="193" spans="1:5">
      <c r="A193" s="257" t="s">
        <v>796</v>
      </c>
      <c r="B193" s="421" t="s">
        <v>331</v>
      </c>
      <c r="C193" s="422">
        <v>1000276.62</v>
      </c>
      <c r="D193" s="422">
        <v>0</v>
      </c>
      <c r="E193" s="422">
        <v>1000276.62</v>
      </c>
    </row>
    <row r="194" spans="1:5">
      <c r="A194" s="257" t="s">
        <v>797</v>
      </c>
      <c r="B194" s="421" t="s">
        <v>333</v>
      </c>
      <c r="C194" s="422">
        <v>676141.81</v>
      </c>
      <c r="D194" s="422">
        <v>0</v>
      </c>
      <c r="E194" s="422">
        <v>676141.81</v>
      </c>
    </row>
    <row r="195" spans="1:5">
      <c r="A195" s="257" t="s">
        <v>798</v>
      </c>
      <c r="B195" s="421" t="s">
        <v>799</v>
      </c>
      <c r="C195" s="422">
        <v>1163888.42</v>
      </c>
      <c r="D195" s="422">
        <v>0</v>
      </c>
      <c r="E195" s="422">
        <v>1163888.42</v>
      </c>
    </row>
    <row r="196" spans="1:5">
      <c r="A196" s="257" t="s">
        <v>800</v>
      </c>
      <c r="B196" s="421" t="s">
        <v>799</v>
      </c>
      <c r="C196" s="422">
        <v>1163888.42</v>
      </c>
      <c r="D196" s="422">
        <v>0</v>
      </c>
      <c r="E196" s="422">
        <v>1163888.42</v>
      </c>
    </row>
    <row r="197" spans="1:5">
      <c r="A197" s="257" t="s">
        <v>801</v>
      </c>
      <c r="B197" s="421" t="s">
        <v>802</v>
      </c>
      <c r="C197" s="422">
        <v>1163888.42</v>
      </c>
      <c r="D197" s="422">
        <v>0</v>
      </c>
      <c r="E197" s="422">
        <v>1163888.42</v>
      </c>
    </row>
    <row r="198" spans="1:5">
      <c r="A198" s="257" t="s">
        <v>803</v>
      </c>
      <c r="B198" s="421" t="s">
        <v>206</v>
      </c>
      <c r="C198" s="422">
        <v>5073153.03</v>
      </c>
      <c r="D198" s="422">
        <v>0</v>
      </c>
      <c r="E198" s="422">
        <v>5073153.03</v>
      </c>
    </row>
    <row r="199" spans="1:5">
      <c r="A199" s="257" t="s">
        <v>804</v>
      </c>
      <c r="B199" s="421" t="s">
        <v>805</v>
      </c>
      <c r="C199" s="422">
        <v>24672.38</v>
      </c>
      <c r="D199" s="422">
        <v>0</v>
      </c>
      <c r="E199" s="422">
        <v>24672.38</v>
      </c>
    </row>
    <row r="200" spans="1:5">
      <c r="A200" s="257" t="s">
        <v>806</v>
      </c>
      <c r="B200" s="421" t="s">
        <v>807</v>
      </c>
      <c r="C200" s="422">
        <v>24672.38</v>
      </c>
      <c r="D200" s="422">
        <v>0</v>
      </c>
      <c r="E200" s="422">
        <v>24672.38</v>
      </c>
    </row>
    <row r="201" spans="1:5">
      <c r="A201" s="257" t="s">
        <v>808</v>
      </c>
      <c r="B201" s="421" t="s">
        <v>809</v>
      </c>
      <c r="C201" s="422">
        <v>24672.38</v>
      </c>
      <c r="D201" s="422">
        <v>0</v>
      </c>
      <c r="E201" s="422">
        <v>24672.38</v>
      </c>
    </row>
    <row r="202" spans="1:5">
      <c r="A202" s="257" t="s">
        <v>810</v>
      </c>
      <c r="B202" s="421" t="s">
        <v>811</v>
      </c>
      <c r="C202" s="422">
        <v>24672.38</v>
      </c>
      <c r="D202" s="422">
        <v>0</v>
      </c>
      <c r="E202" s="422">
        <v>24672.38</v>
      </c>
    </row>
    <row r="203" spans="1:5">
      <c r="A203" s="257" t="s">
        <v>812</v>
      </c>
      <c r="B203" s="421" t="s">
        <v>813</v>
      </c>
      <c r="C203" s="422">
        <v>5048480.6500000004</v>
      </c>
      <c r="D203" s="422">
        <v>0</v>
      </c>
      <c r="E203" s="422">
        <v>5048480.6500000004</v>
      </c>
    </row>
    <row r="204" spans="1:5">
      <c r="A204" s="257" t="s">
        <v>814</v>
      </c>
      <c r="B204" s="421" t="s">
        <v>815</v>
      </c>
      <c r="C204" s="422">
        <v>5048480.6500000004</v>
      </c>
      <c r="D204" s="422">
        <v>0</v>
      </c>
      <c r="E204" s="422">
        <v>5048480.6500000004</v>
      </c>
    </row>
    <row r="205" spans="1:5">
      <c r="A205" s="257" t="s">
        <v>816</v>
      </c>
      <c r="B205" s="421" t="s">
        <v>817</v>
      </c>
      <c r="C205" s="422">
        <v>181835.59</v>
      </c>
      <c r="D205" s="422">
        <v>0</v>
      </c>
      <c r="E205" s="422">
        <v>181835.59</v>
      </c>
    </row>
    <row r="206" spans="1:5">
      <c r="A206" s="257" t="s">
        <v>818</v>
      </c>
      <c r="B206" s="421" t="s">
        <v>819</v>
      </c>
      <c r="C206" s="422">
        <v>181835.59</v>
      </c>
      <c r="D206" s="422">
        <v>0</v>
      </c>
      <c r="E206" s="422">
        <v>181835.59</v>
      </c>
    </row>
    <row r="207" spans="1:5">
      <c r="A207" s="257" t="s">
        <v>820</v>
      </c>
      <c r="B207" s="421" t="s">
        <v>821</v>
      </c>
      <c r="C207" s="422">
        <v>181835.59</v>
      </c>
      <c r="D207" s="422">
        <v>0</v>
      </c>
      <c r="E207" s="422">
        <v>181835.59</v>
      </c>
    </row>
    <row r="208" spans="1:5">
      <c r="A208" s="257" t="s">
        <v>822</v>
      </c>
      <c r="B208" s="421" t="s">
        <v>823</v>
      </c>
      <c r="C208" s="422">
        <v>27178.79</v>
      </c>
      <c r="D208" s="422">
        <v>0</v>
      </c>
      <c r="E208" s="422">
        <v>27178.79</v>
      </c>
    </row>
    <row r="209" spans="1:5">
      <c r="A209" s="257" t="s">
        <v>824</v>
      </c>
      <c r="B209" s="421" t="s">
        <v>825</v>
      </c>
      <c r="C209" s="422">
        <v>841.71</v>
      </c>
      <c r="D209" s="422">
        <v>0</v>
      </c>
      <c r="E209" s="422">
        <v>841.71</v>
      </c>
    </row>
    <row r="210" spans="1:5">
      <c r="A210" s="257" t="s">
        <v>826</v>
      </c>
      <c r="B210" s="421" t="s">
        <v>827</v>
      </c>
      <c r="C210" s="422">
        <v>1222.49</v>
      </c>
      <c r="D210" s="422">
        <v>0</v>
      </c>
      <c r="E210" s="422">
        <v>1222.49</v>
      </c>
    </row>
    <row r="211" spans="1:5">
      <c r="A211" s="257" t="s">
        <v>828</v>
      </c>
      <c r="B211" s="421" t="s">
        <v>829</v>
      </c>
      <c r="C211" s="422">
        <v>5346.49</v>
      </c>
      <c r="D211" s="422">
        <v>0</v>
      </c>
      <c r="E211" s="422">
        <v>5346.49</v>
      </c>
    </row>
    <row r="212" spans="1:5">
      <c r="A212" s="257" t="s">
        <v>830</v>
      </c>
      <c r="B212" s="421" t="s">
        <v>831</v>
      </c>
      <c r="C212" s="422">
        <v>5346.49</v>
      </c>
      <c r="D212" s="422">
        <v>0</v>
      </c>
      <c r="E212" s="422">
        <v>5346.49</v>
      </c>
    </row>
    <row r="213" spans="1:5">
      <c r="A213" s="257" t="s">
        <v>832</v>
      </c>
      <c r="B213" s="421" t="s">
        <v>335</v>
      </c>
      <c r="C213" s="422">
        <v>147246.10999999999</v>
      </c>
      <c r="D213" s="422">
        <v>0</v>
      </c>
      <c r="E213" s="422">
        <v>147246.10999999999</v>
      </c>
    </row>
    <row r="214" spans="1:5">
      <c r="A214" s="257" t="s">
        <v>833</v>
      </c>
      <c r="B214" s="421" t="s">
        <v>834</v>
      </c>
      <c r="C214" s="422">
        <v>3718.93</v>
      </c>
      <c r="D214" s="422">
        <v>0</v>
      </c>
      <c r="E214" s="422">
        <v>3718.93</v>
      </c>
    </row>
    <row r="215" spans="1:5">
      <c r="A215" s="257" t="s">
        <v>835</v>
      </c>
      <c r="B215" s="421" t="s">
        <v>836</v>
      </c>
      <c r="C215" s="422">
        <v>3718.93</v>
      </c>
      <c r="D215" s="422">
        <v>0</v>
      </c>
      <c r="E215" s="422">
        <v>3718.93</v>
      </c>
    </row>
    <row r="216" spans="1:5">
      <c r="A216" s="257" t="s">
        <v>837</v>
      </c>
      <c r="B216" s="421" t="s">
        <v>838</v>
      </c>
      <c r="C216" s="422">
        <v>3718.93</v>
      </c>
      <c r="D216" s="422">
        <v>0</v>
      </c>
      <c r="E216" s="422">
        <v>3718.93</v>
      </c>
    </row>
    <row r="217" spans="1:5">
      <c r="A217" s="257" t="s">
        <v>839</v>
      </c>
      <c r="B217" s="421" t="s">
        <v>840</v>
      </c>
      <c r="C217" s="422">
        <v>3718.93</v>
      </c>
      <c r="D217" s="422">
        <v>0</v>
      </c>
      <c r="E217" s="422">
        <v>3718.93</v>
      </c>
    </row>
    <row r="218" spans="1:5">
      <c r="A218" s="257" t="s">
        <v>841</v>
      </c>
      <c r="B218" s="421" t="s">
        <v>842</v>
      </c>
      <c r="C218" s="422">
        <v>4862926.13</v>
      </c>
      <c r="D218" s="422">
        <v>0</v>
      </c>
      <c r="E218" s="422">
        <v>4862926.13</v>
      </c>
    </row>
    <row r="219" spans="1:5">
      <c r="A219" s="257" t="s">
        <v>843</v>
      </c>
      <c r="B219" s="421" t="s">
        <v>337</v>
      </c>
      <c r="C219" s="422">
        <v>4862926.13</v>
      </c>
      <c r="D219" s="422">
        <v>0</v>
      </c>
      <c r="E219" s="422">
        <v>4862926.13</v>
      </c>
    </row>
    <row r="220" spans="1:5">
      <c r="A220" s="257" t="s">
        <v>844</v>
      </c>
      <c r="B220" s="421" t="s">
        <v>845</v>
      </c>
      <c r="C220" s="422">
        <v>138999.82999999999</v>
      </c>
      <c r="D220" s="422">
        <v>0</v>
      </c>
      <c r="E220" s="422">
        <v>138999.82999999999</v>
      </c>
    </row>
    <row r="221" spans="1:5">
      <c r="A221" s="257" t="s">
        <v>846</v>
      </c>
      <c r="B221" s="421" t="s">
        <v>845</v>
      </c>
      <c r="C221" s="422">
        <v>138999.82999999999</v>
      </c>
      <c r="D221" s="422">
        <v>0</v>
      </c>
      <c r="E221" s="422">
        <v>138999.82999999999</v>
      </c>
    </row>
    <row r="222" spans="1:5">
      <c r="A222" s="257" t="s">
        <v>847</v>
      </c>
      <c r="B222" s="421" t="s">
        <v>848</v>
      </c>
      <c r="C222" s="422">
        <v>138999.82999999999</v>
      </c>
      <c r="D222" s="422">
        <v>0</v>
      </c>
      <c r="E222" s="422">
        <v>138999.82999999999</v>
      </c>
    </row>
    <row r="223" spans="1:5">
      <c r="A223" s="257" t="s">
        <v>849</v>
      </c>
      <c r="B223" s="421" t="s">
        <v>850</v>
      </c>
      <c r="C223" s="422">
        <v>138999.82999999999</v>
      </c>
      <c r="D223" s="422">
        <v>0</v>
      </c>
      <c r="E223" s="422">
        <v>138999.82999999999</v>
      </c>
    </row>
    <row r="224" spans="1:5">
      <c r="A224" s="257" t="s">
        <v>851</v>
      </c>
      <c r="B224" s="421" t="s">
        <v>213</v>
      </c>
      <c r="C224" s="422">
        <v>552523.71</v>
      </c>
      <c r="D224" s="422">
        <v>0</v>
      </c>
      <c r="E224" s="422">
        <v>552523.71</v>
      </c>
    </row>
    <row r="225" spans="1:5">
      <c r="A225" s="257" t="s">
        <v>852</v>
      </c>
      <c r="B225" s="421" t="s">
        <v>853</v>
      </c>
      <c r="C225" s="422">
        <v>552523.71</v>
      </c>
      <c r="D225" s="422">
        <v>0</v>
      </c>
      <c r="E225" s="422">
        <v>552523.71</v>
      </c>
    </row>
    <row r="226" spans="1:5">
      <c r="A226" s="257" t="s">
        <v>854</v>
      </c>
      <c r="B226" s="421" t="s">
        <v>855</v>
      </c>
      <c r="C226" s="422">
        <v>552523.71</v>
      </c>
      <c r="D226" s="422">
        <v>0</v>
      </c>
      <c r="E226" s="422">
        <v>552523.71</v>
      </c>
    </row>
    <row r="227" spans="1:5">
      <c r="A227" s="257" t="s">
        <v>856</v>
      </c>
      <c r="B227" s="421" t="s">
        <v>857</v>
      </c>
      <c r="C227" s="422">
        <v>552523.71</v>
      </c>
      <c r="D227" s="422">
        <v>0</v>
      </c>
      <c r="E227" s="422">
        <v>552523.71</v>
      </c>
    </row>
    <row r="228" spans="1:5">
      <c r="A228" s="257" t="s">
        <v>858</v>
      </c>
      <c r="B228" s="421" t="s">
        <v>859</v>
      </c>
      <c r="C228" s="422">
        <v>552523.71</v>
      </c>
      <c r="D228" s="422">
        <v>0</v>
      </c>
      <c r="E228" s="422">
        <v>552523.71</v>
      </c>
    </row>
    <row r="229" spans="1:5">
      <c r="A229" s="257" t="s">
        <v>860</v>
      </c>
      <c r="B229" s="421" t="s">
        <v>861</v>
      </c>
      <c r="C229" s="422">
        <v>552523.71</v>
      </c>
      <c r="D229" s="422">
        <v>0</v>
      </c>
      <c r="E229" s="422">
        <v>552523.71</v>
      </c>
    </row>
    <row r="230" spans="1:5">
      <c r="A230" s="257" t="s">
        <v>862</v>
      </c>
      <c r="B230" s="421" t="s">
        <v>863</v>
      </c>
      <c r="C230" s="422">
        <v>113660940.89</v>
      </c>
      <c r="D230" s="422">
        <v>0</v>
      </c>
      <c r="E230" s="422">
        <v>113660940.89</v>
      </c>
    </row>
    <row r="231" spans="1:5">
      <c r="A231" s="257" t="s">
        <v>864</v>
      </c>
      <c r="B231" s="421" t="s">
        <v>865</v>
      </c>
      <c r="C231" s="422">
        <v>41358772.399999999</v>
      </c>
      <c r="D231" s="422">
        <v>0</v>
      </c>
      <c r="E231" s="422">
        <v>41358772.399999999</v>
      </c>
    </row>
    <row r="232" spans="1:5">
      <c r="A232" s="257" t="s">
        <v>866</v>
      </c>
      <c r="B232" s="421" t="s">
        <v>867</v>
      </c>
      <c r="C232" s="422">
        <v>41358772.399999999</v>
      </c>
      <c r="D232" s="422">
        <v>0</v>
      </c>
      <c r="E232" s="422">
        <v>41358772.399999999</v>
      </c>
    </row>
    <row r="233" spans="1:5">
      <c r="A233" s="257" t="s">
        <v>868</v>
      </c>
      <c r="B233" s="421" t="s">
        <v>869</v>
      </c>
      <c r="C233" s="422">
        <v>31993371.59</v>
      </c>
      <c r="D233" s="422">
        <v>0</v>
      </c>
      <c r="E233" s="422">
        <v>31993371.59</v>
      </c>
    </row>
    <row r="234" spans="1:5">
      <c r="A234" s="257" t="s">
        <v>870</v>
      </c>
      <c r="B234" s="421" t="s">
        <v>871</v>
      </c>
      <c r="C234" s="422">
        <v>28295521.66</v>
      </c>
      <c r="D234" s="422">
        <v>0</v>
      </c>
      <c r="E234" s="422">
        <v>28295521.66</v>
      </c>
    </row>
    <row r="235" spans="1:5">
      <c r="A235" s="257" t="s">
        <v>872</v>
      </c>
      <c r="B235" s="421" t="s">
        <v>873</v>
      </c>
      <c r="C235" s="422">
        <v>28295521.66</v>
      </c>
      <c r="D235" s="422">
        <v>0</v>
      </c>
      <c r="E235" s="422">
        <v>28295521.66</v>
      </c>
    </row>
    <row r="236" spans="1:5">
      <c r="A236" s="257" t="s">
        <v>874</v>
      </c>
      <c r="B236" s="421" t="s">
        <v>875</v>
      </c>
      <c r="C236" s="422">
        <v>16977313</v>
      </c>
      <c r="D236" s="422">
        <v>0</v>
      </c>
      <c r="E236" s="422">
        <v>16977313</v>
      </c>
    </row>
    <row r="237" spans="1:5">
      <c r="A237" s="257" t="s">
        <v>876</v>
      </c>
      <c r="B237" s="421" t="s">
        <v>877</v>
      </c>
      <c r="C237" s="422">
        <v>1414776.08</v>
      </c>
      <c r="D237" s="422">
        <v>0</v>
      </c>
      <c r="E237" s="422">
        <v>1414776.08</v>
      </c>
    </row>
    <row r="238" spans="1:5">
      <c r="A238" s="257" t="s">
        <v>878</v>
      </c>
      <c r="B238" s="421" t="s">
        <v>879</v>
      </c>
      <c r="C238" s="422">
        <v>4244328.25</v>
      </c>
      <c r="D238" s="422">
        <v>0</v>
      </c>
      <c r="E238" s="422">
        <v>4244328.25</v>
      </c>
    </row>
    <row r="239" spans="1:5">
      <c r="A239" s="257" t="s">
        <v>880</v>
      </c>
      <c r="B239" s="421" t="s">
        <v>343</v>
      </c>
      <c r="C239" s="422">
        <v>5659104.3300000001</v>
      </c>
      <c r="D239" s="422">
        <v>0</v>
      </c>
      <c r="E239" s="422">
        <v>5659104.3300000001</v>
      </c>
    </row>
    <row r="240" spans="1:5">
      <c r="A240" s="257" t="s">
        <v>881</v>
      </c>
      <c r="B240" s="421" t="s">
        <v>882</v>
      </c>
      <c r="C240" s="422">
        <v>1268281.42</v>
      </c>
      <c r="D240" s="422">
        <v>0</v>
      </c>
      <c r="E240" s="422">
        <v>1268281.42</v>
      </c>
    </row>
    <row r="241" spans="1:5">
      <c r="A241" s="257" t="s">
        <v>883</v>
      </c>
      <c r="B241" s="421" t="s">
        <v>884</v>
      </c>
      <c r="C241" s="422">
        <v>1268281.42</v>
      </c>
      <c r="D241" s="422">
        <v>0</v>
      </c>
      <c r="E241" s="422">
        <v>1268281.42</v>
      </c>
    </row>
    <row r="242" spans="1:5">
      <c r="A242" s="257" t="s">
        <v>885</v>
      </c>
      <c r="B242" s="421" t="s">
        <v>886</v>
      </c>
      <c r="C242" s="422">
        <v>760968.85</v>
      </c>
      <c r="D242" s="422">
        <v>0</v>
      </c>
      <c r="E242" s="422">
        <v>760968.85</v>
      </c>
    </row>
    <row r="243" spans="1:5">
      <c r="A243" s="257" t="s">
        <v>887</v>
      </c>
      <c r="B243" s="421" t="s">
        <v>888</v>
      </c>
      <c r="C243" s="422">
        <v>317070.36</v>
      </c>
      <c r="D243" s="422">
        <v>0</v>
      </c>
      <c r="E243" s="422">
        <v>317070.36</v>
      </c>
    </row>
    <row r="244" spans="1:5">
      <c r="A244" s="257" t="s">
        <v>889</v>
      </c>
      <c r="B244" s="421" t="s">
        <v>890</v>
      </c>
      <c r="C244" s="422">
        <v>190242.21</v>
      </c>
      <c r="D244" s="422">
        <v>0</v>
      </c>
      <c r="E244" s="422">
        <v>190242.21</v>
      </c>
    </row>
    <row r="245" spans="1:5">
      <c r="A245" s="257" t="s">
        <v>891</v>
      </c>
      <c r="B245" s="421" t="s">
        <v>892</v>
      </c>
      <c r="C245" s="422">
        <v>1239869.25</v>
      </c>
      <c r="D245" s="422">
        <v>0</v>
      </c>
      <c r="E245" s="422">
        <v>1239869.25</v>
      </c>
    </row>
    <row r="246" spans="1:5">
      <c r="A246" s="257" t="s">
        <v>893</v>
      </c>
      <c r="B246" s="421" t="s">
        <v>894</v>
      </c>
      <c r="C246" s="422">
        <v>1239869.25</v>
      </c>
      <c r="D246" s="422">
        <v>0</v>
      </c>
      <c r="E246" s="422">
        <v>1239869.25</v>
      </c>
    </row>
    <row r="248" spans="1:5">
      <c r="A248" s="434" t="s">
        <v>537</v>
      </c>
      <c r="B248" s="434"/>
      <c r="C248" s="434"/>
      <c r="D248" s="434"/>
      <c r="E248" s="434"/>
    </row>
    <row r="249" spans="1:5">
      <c r="A249" s="434" t="s">
        <v>318</v>
      </c>
      <c r="B249" s="434"/>
      <c r="C249" s="434"/>
      <c r="D249" s="434"/>
      <c r="E249" s="434"/>
    </row>
    <row r="250" spans="1:5">
      <c r="A250" s="436" t="s">
        <v>145</v>
      </c>
      <c r="B250" s="436"/>
      <c r="C250" s="438" t="s">
        <v>538</v>
      </c>
      <c r="D250" s="438"/>
      <c r="E250" s="438"/>
    </row>
    <row r="251" spans="1:5">
      <c r="A251" s="437"/>
      <c r="B251" s="437"/>
      <c r="C251" s="439" t="s">
        <v>539</v>
      </c>
      <c r="D251" s="439"/>
      <c r="E251" s="440" t="s">
        <v>540</v>
      </c>
    </row>
    <row r="252" spans="1:5">
      <c r="A252" s="436"/>
      <c r="B252" s="436"/>
      <c r="C252" s="420" t="s">
        <v>541</v>
      </c>
      <c r="D252" s="420" t="s">
        <v>542</v>
      </c>
      <c r="E252" s="441"/>
    </row>
    <row r="253" spans="1:5">
      <c r="A253" s="257" t="s">
        <v>895</v>
      </c>
      <c r="B253" s="421" t="s">
        <v>896</v>
      </c>
      <c r="C253" s="422">
        <v>743921.55</v>
      </c>
      <c r="D253" s="422">
        <v>0</v>
      </c>
      <c r="E253" s="422">
        <v>743921.55</v>
      </c>
    </row>
    <row r="254" spans="1:5">
      <c r="A254" s="257" t="s">
        <v>897</v>
      </c>
      <c r="B254" s="421" t="s">
        <v>898</v>
      </c>
      <c r="C254" s="422">
        <v>309967.31</v>
      </c>
      <c r="D254" s="422">
        <v>0</v>
      </c>
      <c r="E254" s="422">
        <v>309967.31</v>
      </c>
    </row>
    <row r="255" spans="1:5">
      <c r="A255" s="257" t="s">
        <v>899</v>
      </c>
      <c r="B255" s="421" t="s">
        <v>900</v>
      </c>
      <c r="C255" s="422">
        <v>185980.39</v>
      </c>
      <c r="D255" s="422">
        <v>0</v>
      </c>
      <c r="E255" s="422">
        <v>185980.39</v>
      </c>
    </row>
    <row r="256" spans="1:5">
      <c r="A256" s="257" t="s">
        <v>901</v>
      </c>
      <c r="B256" s="421" t="s">
        <v>902</v>
      </c>
      <c r="C256" s="422">
        <v>1189699.26</v>
      </c>
      <c r="D256" s="422">
        <v>0</v>
      </c>
      <c r="E256" s="422">
        <v>1189699.26</v>
      </c>
    </row>
    <row r="257" spans="1:5">
      <c r="A257" s="257" t="s">
        <v>903</v>
      </c>
      <c r="B257" s="421" t="s">
        <v>904</v>
      </c>
      <c r="C257" s="422">
        <v>1189699.26</v>
      </c>
      <c r="D257" s="422">
        <v>0</v>
      </c>
      <c r="E257" s="422">
        <v>1189699.26</v>
      </c>
    </row>
    <row r="258" spans="1:5">
      <c r="A258" s="257" t="s">
        <v>905</v>
      </c>
      <c r="B258" s="421" t="s">
        <v>906</v>
      </c>
      <c r="C258" s="422">
        <v>713819.56</v>
      </c>
      <c r="D258" s="422">
        <v>0</v>
      </c>
      <c r="E258" s="422">
        <v>713819.56</v>
      </c>
    </row>
    <row r="259" spans="1:5">
      <c r="A259" s="257" t="s">
        <v>907</v>
      </c>
      <c r="B259" s="421" t="s">
        <v>908</v>
      </c>
      <c r="C259" s="422">
        <v>59484.959999999999</v>
      </c>
      <c r="D259" s="422">
        <v>0</v>
      </c>
      <c r="E259" s="422">
        <v>59484.959999999999</v>
      </c>
    </row>
    <row r="260" spans="1:5">
      <c r="A260" s="257" t="s">
        <v>909</v>
      </c>
      <c r="B260" s="421" t="s">
        <v>910</v>
      </c>
      <c r="C260" s="422">
        <v>178454.89</v>
      </c>
      <c r="D260" s="422">
        <v>0</v>
      </c>
      <c r="E260" s="422">
        <v>178454.89</v>
      </c>
    </row>
    <row r="261" spans="1:5">
      <c r="A261" s="257" t="s">
        <v>911</v>
      </c>
      <c r="B261" s="421" t="s">
        <v>345</v>
      </c>
      <c r="C261" s="422">
        <v>237939.85</v>
      </c>
      <c r="D261" s="422">
        <v>0</v>
      </c>
      <c r="E261" s="422">
        <v>237939.85</v>
      </c>
    </row>
    <row r="262" spans="1:5">
      <c r="A262" s="257" t="s">
        <v>912</v>
      </c>
      <c r="B262" s="421" t="s">
        <v>913</v>
      </c>
      <c r="C262" s="422">
        <v>568057.02</v>
      </c>
      <c r="D262" s="422">
        <v>0</v>
      </c>
      <c r="E262" s="422">
        <v>568057.02</v>
      </c>
    </row>
    <row r="263" spans="1:5">
      <c r="A263" s="257" t="s">
        <v>914</v>
      </c>
      <c r="B263" s="421" t="s">
        <v>915</v>
      </c>
      <c r="C263" s="422">
        <v>143333.91</v>
      </c>
      <c r="D263" s="422">
        <v>0</v>
      </c>
      <c r="E263" s="422">
        <v>143333.91</v>
      </c>
    </row>
    <row r="264" spans="1:5">
      <c r="A264" s="257" t="s">
        <v>916</v>
      </c>
      <c r="B264" s="421" t="s">
        <v>917</v>
      </c>
      <c r="C264" s="422">
        <v>143333.91</v>
      </c>
      <c r="D264" s="422">
        <v>0</v>
      </c>
      <c r="E264" s="422">
        <v>143333.91</v>
      </c>
    </row>
    <row r="265" spans="1:5">
      <c r="A265" s="257" t="s">
        <v>918</v>
      </c>
      <c r="B265" s="421" t="s">
        <v>919</v>
      </c>
      <c r="C265" s="422">
        <v>424723.11</v>
      </c>
      <c r="D265" s="422">
        <v>0</v>
      </c>
      <c r="E265" s="422">
        <v>424723.11</v>
      </c>
    </row>
    <row r="266" spans="1:5">
      <c r="A266" s="257" t="s">
        <v>920</v>
      </c>
      <c r="B266" s="421" t="s">
        <v>921</v>
      </c>
      <c r="C266" s="422">
        <v>424723.11</v>
      </c>
      <c r="D266" s="422">
        <v>0</v>
      </c>
      <c r="E266" s="422">
        <v>424723.11</v>
      </c>
    </row>
    <row r="267" spans="1:5">
      <c r="A267" s="257" t="s">
        <v>922</v>
      </c>
      <c r="B267" s="421" t="s">
        <v>923</v>
      </c>
      <c r="C267" s="422">
        <v>4983885.7</v>
      </c>
      <c r="D267" s="422">
        <v>0</v>
      </c>
      <c r="E267" s="422">
        <v>4983885.7</v>
      </c>
    </row>
    <row r="268" spans="1:5">
      <c r="A268" s="257" t="s">
        <v>924</v>
      </c>
      <c r="B268" s="421" t="s">
        <v>925</v>
      </c>
      <c r="C268" s="422">
        <v>4318587.5</v>
      </c>
      <c r="D268" s="422">
        <v>0</v>
      </c>
      <c r="E268" s="422">
        <v>4318587.5</v>
      </c>
    </row>
    <row r="269" spans="1:5">
      <c r="A269" s="257" t="s">
        <v>926</v>
      </c>
      <c r="B269" s="421" t="s">
        <v>927</v>
      </c>
      <c r="C269" s="422">
        <v>4318587.5</v>
      </c>
      <c r="D269" s="422">
        <v>0</v>
      </c>
      <c r="E269" s="422">
        <v>4318587.5</v>
      </c>
    </row>
    <row r="270" spans="1:5">
      <c r="A270" s="257" t="s">
        <v>928</v>
      </c>
      <c r="B270" s="421" t="s">
        <v>929</v>
      </c>
      <c r="C270" s="422">
        <v>4318587.5</v>
      </c>
      <c r="D270" s="422">
        <v>0</v>
      </c>
      <c r="E270" s="422">
        <v>4318587.5</v>
      </c>
    </row>
    <row r="271" spans="1:5">
      <c r="A271" s="257" t="s">
        <v>930</v>
      </c>
      <c r="B271" s="421" t="s">
        <v>931</v>
      </c>
      <c r="C271" s="422">
        <v>4318587.5</v>
      </c>
      <c r="D271" s="422">
        <v>0</v>
      </c>
      <c r="E271" s="422">
        <v>4318587.5</v>
      </c>
    </row>
    <row r="272" spans="1:5">
      <c r="A272" s="257" t="s">
        <v>932</v>
      </c>
      <c r="B272" s="421" t="s">
        <v>933</v>
      </c>
      <c r="C272" s="422">
        <v>4318587.5</v>
      </c>
      <c r="D272" s="422">
        <v>0</v>
      </c>
      <c r="E272" s="422">
        <v>4318587.5</v>
      </c>
    </row>
    <row r="273" spans="1:5">
      <c r="A273" s="257" t="s">
        <v>934</v>
      </c>
      <c r="B273" s="421" t="s">
        <v>935</v>
      </c>
      <c r="C273" s="422">
        <v>176432.83</v>
      </c>
      <c r="D273" s="422">
        <v>0</v>
      </c>
      <c r="E273" s="422">
        <v>176432.83</v>
      </c>
    </row>
    <row r="274" spans="1:5">
      <c r="A274" s="257" t="s">
        <v>936</v>
      </c>
      <c r="B274" s="421" t="s">
        <v>937</v>
      </c>
      <c r="C274" s="422">
        <v>176432.83</v>
      </c>
      <c r="D274" s="422">
        <v>0</v>
      </c>
      <c r="E274" s="422">
        <v>176432.83</v>
      </c>
    </row>
    <row r="275" spans="1:5">
      <c r="A275" s="257" t="s">
        <v>938</v>
      </c>
      <c r="B275" s="421" t="s">
        <v>939</v>
      </c>
      <c r="C275" s="422">
        <v>176432.83</v>
      </c>
      <c r="D275" s="422">
        <v>0</v>
      </c>
      <c r="E275" s="422">
        <v>176432.83</v>
      </c>
    </row>
    <row r="276" spans="1:5">
      <c r="A276" s="257" t="s">
        <v>940</v>
      </c>
      <c r="B276" s="421" t="s">
        <v>941</v>
      </c>
      <c r="C276" s="422">
        <v>193352.25</v>
      </c>
      <c r="D276" s="422">
        <v>0</v>
      </c>
      <c r="E276" s="422">
        <v>193352.25</v>
      </c>
    </row>
    <row r="277" spans="1:5">
      <c r="A277" s="257" t="s">
        <v>942</v>
      </c>
      <c r="B277" s="421" t="s">
        <v>943</v>
      </c>
      <c r="C277" s="422">
        <v>193352.25</v>
      </c>
      <c r="D277" s="422">
        <v>0</v>
      </c>
      <c r="E277" s="422">
        <v>193352.25</v>
      </c>
    </row>
    <row r="278" spans="1:5">
      <c r="A278" s="257" t="s">
        <v>944</v>
      </c>
      <c r="B278" s="421" t="s">
        <v>945</v>
      </c>
      <c r="C278" s="422">
        <v>193352.25</v>
      </c>
      <c r="D278" s="422">
        <v>0</v>
      </c>
      <c r="E278" s="422">
        <v>193352.25</v>
      </c>
    </row>
    <row r="279" spans="1:5">
      <c r="A279" s="257" t="s">
        <v>946</v>
      </c>
      <c r="B279" s="421" t="s">
        <v>947</v>
      </c>
      <c r="C279" s="422">
        <v>295513.12</v>
      </c>
      <c r="D279" s="422">
        <v>0</v>
      </c>
      <c r="E279" s="422">
        <v>295513.12</v>
      </c>
    </row>
    <row r="280" spans="1:5">
      <c r="A280" s="257" t="s">
        <v>948</v>
      </c>
      <c r="B280" s="421" t="s">
        <v>949</v>
      </c>
      <c r="C280" s="422">
        <v>295513.12</v>
      </c>
      <c r="D280" s="422">
        <v>0</v>
      </c>
      <c r="E280" s="422">
        <v>295513.12</v>
      </c>
    </row>
    <row r="281" spans="1:5">
      <c r="A281" s="257" t="s">
        <v>950</v>
      </c>
      <c r="B281" s="421" t="s">
        <v>951</v>
      </c>
      <c r="C281" s="422">
        <v>295513.12</v>
      </c>
      <c r="D281" s="422">
        <v>0</v>
      </c>
      <c r="E281" s="422">
        <v>295513.12</v>
      </c>
    </row>
    <row r="282" spans="1:5">
      <c r="A282" s="257" t="s">
        <v>952</v>
      </c>
      <c r="B282" s="421" t="s">
        <v>953</v>
      </c>
      <c r="C282" s="422">
        <v>311004.44</v>
      </c>
      <c r="D282" s="422">
        <v>0</v>
      </c>
      <c r="E282" s="422">
        <v>311004.44</v>
      </c>
    </row>
    <row r="283" spans="1:5">
      <c r="A283" s="257" t="s">
        <v>954</v>
      </c>
      <c r="B283" s="421" t="s">
        <v>955</v>
      </c>
      <c r="C283" s="422">
        <v>155502.22</v>
      </c>
      <c r="D283" s="422">
        <v>0</v>
      </c>
      <c r="E283" s="422">
        <v>155502.22</v>
      </c>
    </row>
    <row r="284" spans="1:5">
      <c r="A284" s="257" t="s">
        <v>956</v>
      </c>
      <c r="B284" s="421" t="s">
        <v>957</v>
      </c>
      <c r="C284" s="422">
        <v>155502.22</v>
      </c>
      <c r="D284" s="422">
        <v>0</v>
      </c>
      <c r="E284" s="422">
        <v>155502.22</v>
      </c>
    </row>
    <row r="285" spans="1:5">
      <c r="A285" s="257" t="s">
        <v>958</v>
      </c>
      <c r="B285" s="421" t="s">
        <v>959</v>
      </c>
      <c r="C285" s="422">
        <v>155502.22</v>
      </c>
      <c r="D285" s="422">
        <v>0</v>
      </c>
      <c r="E285" s="422">
        <v>155502.22</v>
      </c>
    </row>
    <row r="286" spans="1:5">
      <c r="A286" s="257" t="s">
        <v>960</v>
      </c>
      <c r="B286" s="421" t="s">
        <v>961</v>
      </c>
      <c r="C286" s="422">
        <v>155502.22</v>
      </c>
      <c r="D286" s="422">
        <v>0</v>
      </c>
      <c r="E286" s="422">
        <v>155502.22</v>
      </c>
    </row>
    <row r="287" spans="1:5">
      <c r="A287" s="257" t="s">
        <v>962</v>
      </c>
      <c r="B287" s="421" t="s">
        <v>963</v>
      </c>
      <c r="C287" s="422">
        <v>155502.22</v>
      </c>
      <c r="D287" s="422">
        <v>0</v>
      </c>
      <c r="E287" s="422">
        <v>155502.22</v>
      </c>
    </row>
    <row r="288" spans="1:5">
      <c r="A288" s="257" t="s">
        <v>964</v>
      </c>
      <c r="B288" s="421" t="s">
        <v>965</v>
      </c>
      <c r="C288" s="422">
        <v>155502.22</v>
      </c>
      <c r="D288" s="422">
        <v>0</v>
      </c>
      <c r="E288" s="422">
        <v>155502.22</v>
      </c>
    </row>
    <row r="289" spans="1:5">
      <c r="A289" s="257" t="s">
        <v>966</v>
      </c>
      <c r="B289" s="421" t="s">
        <v>967</v>
      </c>
      <c r="C289" s="422">
        <v>2837008.68</v>
      </c>
      <c r="D289" s="422">
        <v>0</v>
      </c>
      <c r="E289" s="422">
        <v>2837008.68</v>
      </c>
    </row>
    <row r="290" spans="1:5">
      <c r="A290" s="257" t="s">
        <v>968</v>
      </c>
      <c r="B290" s="421" t="s">
        <v>969</v>
      </c>
      <c r="C290" s="422">
        <v>1879759.72</v>
      </c>
      <c r="D290" s="422">
        <v>0</v>
      </c>
      <c r="E290" s="422">
        <v>1879759.72</v>
      </c>
    </row>
    <row r="291" spans="1:5">
      <c r="A291" s="257" t="s">
        <v>970</v>
      </c>
      <c r="B291" s="421" t="s">
        <v>971</v>
      </c>
      <c r="C291" s="422">
        <v>1879759.72</v>
      </c>
      <c r="D291" s="422">
        <v>0</v>
      </c>
      <c r="E291" s="422">
        <v>1879759.72</v>
      </c>
    </row>
    <row r="292" spans="1:5">
      <c r="A292" s="257" t="s">
        <v>972</v>
      </c>
      <c r="B292" s="421" t="s">
        <v>973</v>
      </c>
      <c r="C292" s="422">
        <v>708428.80000000005</v>
      </c>
      <c r="D292" s="422">
        <v>0</v>
      </c>
      <c r="E292" s="422">
        <v>708428.80000000005</v>
      </c>
    </row>
    <row r="293" spans="1:5">
      <c r="A293" s="257" t="s">
        <v>974</v>
      </c>
      <c r="B293" s="421" t="s">
        <v>975</v>
      </c>
      <c r="C293" s="422">
        <v>708428.80000000005</v>
      </c>
      <c r="D293" s="422">
        <v>0</v>
      </c>
      <c r="E293" s="422">
        <v>708428.80000000005</v>
      </c>
    </row>
    <row r="294" spans="1:5">
      <c r="A294" s="257" t="s">
        <v>976</v>
      </c>
      <c r="B294" s="421" t="s">
        <v>977</v>
      </c>
      <c r="C294" s="422">
        <v>269948.95</v>
      </c>
      <c r="D294" s="422">
        <v>0</v>
      </c>
      <c r="E294" s="422">
        <v>269948.95</v>
      </c>
    </row>
    <row r="295" spans="1:5">
      <c r="A295" s="257" t="s">
        <v>978</v>
      </c>
      <c r="B295" s="421" t="s">
        <v>979</v>
      </c>
      <c r="C295" s="422">
        <v>12213.99</v>
      </c>
      <c r="D295" s="422">
        <v>0</v>
      </c>
      <c r="E295" s="422">
        <v>12213.99</v>
      </c>
    </row>
    <row r="296" spans="1:5">
      <c r="A296" s="257" t="s">
        <v>980</v>
      </c>
      <c r="B296" s="421" t="s">
        <v>981</v>
      </c>
      <c r="C296" s="422">
        <v>129943.31</v>
      </c>
      <c r="D296" s="422">
        <v>0</v>
      </c>
      <c r="E296" s="422">
        <v>129943.31</v>
      </c>
    </row>
    <row r="297" spans="1:5">
      <c r="A297" s="257" t="s">
        <v>982</v>
      </c>
      <c r="B297" s="421" t="s">
        <v>983</v>
      </c>
      <c r="C297" s="422">
        <v>147310.07999999999</v>
      </c>
      <c r="D297" s="422">
        <v>0</v>
      </c>
      <c r="E297" s="422">
        <v>147310.07999999999</v>
      </c>
    </row>
    <row r="298" spans="1:5">
      <c r="A298" s="257" t="s">
        <v>984</v>
      </c>
      <c r="B298" s="421" t="s">
        <v>985</v>
      </c>
      <c r="C298" s="422">
        <v>21578.05</v>
      </c>
      <c r="D298" s="422">
        <v>0</v>
      </c>
      <c r="E298" s="422">
        <v>21578.05</v>
      </c>
    </row>
    <row r="299" spans="1:5">
      <c r="A299" s="257" t="s">
        <v>986</v>
      </c>
      <c r="B299" s="421" t="s">
        <v>987</v>
      </c>
      <c r="C299" s="422">
        <v>127434.42</v>
      </c>
      <c r="D299" s="422">
        <v>0</v>
      </c>
      <c r="E299" s="422">
        <v>127434.42</v>
      </c>
    </row>
    <row r="300" spans="1:5">
      <c r="A300" s="257" t="s">
        <v>988</v>
      </c>
      <c r="B300" s="421" t="s">
        <v>989</v>
      </c>
      <c r="C300" s="422">
        <v>248820.16</v>
      </c>
      <c r="D300" s="422">
        <v>0</v>
      </c>
      <c r="E300" s="422">
        <v>248820.16</v>
      </c>
    </row>
    <row r="301" spans="1:5">
      <c r="A301" s="257" t="s">
        <v>990</v>
      </c>
      <c r="B301" s="421" t="s">
        <v>991</v>
      </c>
      <c r="C301" s="422">
        <v>248820.16</v>
      </c>
      <c r="D301" s="422">
        <v>0</v>
      </c>
      <c r="E301" s="422">
        <v>248820.16</v>
      </c>
    </row>
    <row r="302" spans="1:5">
      <c r="A302" s="257" t="s">
        <v>992</v>
      </c>
      <c r="B302" s="421" t="s">
        <v>993</v>
      </c>
      <c r="C302" s="422">
        <v>13171.49</v>
      </c>
      <c r="D302" s="422">
        <v>0</v>
      </c>
      <c r="E302" s="422">
        <v>13171.49</v>
      </c>
    </row>
    <row r="303" spans="1:5">
      <c r="A303" s="257" t="s">
        <v>994</v>
      </c>
      <c r="B303" s="421" t="s">
        <v>995</v>
      </c>
      <c r="C303" s="422">
        <v>235648.67</v>
      </c>
      <c r="D303" s="422">
        <v>0</v>
      </c>
      <c r="E303" s="422">
        <v>235648.67</v>
      </c>
    </row>
    <row r="304" spans="1:5">
      <c r="A304" s="257" t="s">
        <v>996</v>
      </c>
      <c r="B304" s="421" t="s">
        <v>997</v>
      </c>
      <c r="C304" s="422">
        <v>665444.97</v>
      </c>
      <c r="D304" s="422">
        <v>0</v>
      </c>
      <c r="E304" s="422">
        <v>665444.97</v>
      </c>
    </row>
    <row r="305" spans="1:5">
      <c r="A305" s="257" t="s">
        <v>998</v>
      </c>
      <c r="B305" s="421" t="s">
        <v>997</v>
      </c>
      <c r="C305" s="422">
        <v>665444.97</v>
      </c>
      <c r="D305" s="422">
        <v>0</v>
      </c>
      <c r="E305" s="422">
        <v>665444.97</v>
      </c>
    </row>
    <row r="306" spans="1:5">
      <c r="A306" s="257" t="s">
        <v>999</v>
      </c>
      <c r="B306" s="421" t="s">
        <v>1000</v>
      </c>
      <c r="C306" s="422">
        <v>665444.97</v>
      </c>
      <c r="D306" s="422">
        <v>0</v>
      </c>
      <c r="E306" s="422">
        <v>665444.97</v>
      </c>
    </row>
    <row r="308" spans="1:5">
      <c r="A308" s="434" t="s">
        <v>537</v>
      </c>
      <c r="B308" s="434"/>
      <c r="C308" s="434"/>
      <c r="D308" s="434"/>
      <c r="E308" s="434"/>
    </row>
    <row r="309" spans="1:5">
      <c r="A309" s="434" t="s">
        <v>318</v>
      </c>
      <c r="B309" s="434"/>
      <c r="C309" s="434"/>
      <c r="D309" s="434"/>
      <c r="E309" s="434"/>
    </row>
    <row r="310" spans="1:5">
      <c r="A310" s="436" t="s">
        <v>145</v>
      </c>
      <c r="B310" s="436"/>
      <c r="C310" s="438" t="s">
        <v>538</v>
      </c>
      <c r="D310" s="438"/>
      <c r="E310" s="438"/>
    </row>
    <row r="311" spans="1:5">
      <c r="A311" s="437"/>
      <c r="B311" s="437"/>
      <c r="C311" s="439" t="s">
        <v>539</v>
      </c>
      <c r="D311" s="439"/>
      <c r="E311" s="440" t="s">
        <v>540</v>
      </c>
    </row>
    <row r="312" spans="1:5">
      <c r="A312" s="436"/>
      <c r="B312" s="436"/>
      <c r="C312" s="420" t="s">
        <v>541</v>
      </c>
      <c r="D312" s="420" t="s">
        <v>542</v>
      </c>
      <c r="E312" s="441"/>
    </row>
    <row r="313" spans="1:5">
      <c r="A313" s="257" t="s">
        <v>1001</v>
      </c>
      <c r="B313" s="421" t="s">
        <v>1002</v>
      </c>
      <c r="C313" s="422">
        <v>144760.17000000001</v>
      </c>
      <c r="D313" s="422">
        <v>0</v>
      </c>
      <c r="E313" s="422">
        <v>144760.17000000001</v>
      </c>
    </row>
    <row r="314" spans="1:5">
      <c r="A314" s="257" t="s">
        <v>1003</v>
      </c>
      <c r="B314" s="421" t="s">
        <v>1004</v>
      </c>
      <c r="C314" s="422">
        <v>83402.22</v>
      </c>
      <c r="D314" s="422">
        <v>0</v>
      </c>
      <c r="E314" s="422">
        <v>83402.22</v>
      </c>
    </row>
    <row r="315" spans="1:5">
      <c r="A315" s="257" t="s">
        <v>1005</v>
      </c>
      <c r="B315" s="421" t="s">
        <v>1006</v>
      </c>
      <c r="C315" s="422">
        <v>61357.95</v>
      </c>
      <c r="D315" s="422">
        <v>0</v>
      </c>
      <c r="E315" s="422">
        <v>61357.95</v>
      </c>
    </row>
    <row r="316" spans="1:5">
      <c r="A316" s="257" t="s">
        <v>1007</v>
      </c>
      <c r="B316" s="421" t="s">
        <v>1008</v>
      </c>
      <c r="C316" s="422">
        <v>61999.64</v>
      </c>
      <c r="D316" s="422">
        <v>0</v>
      </c>
      <c r="E316" s="422">
        <v>61999.64</v>
      </c>
    </row>
    <row r="317" spans="1:5">
      <c r="A317" s="257" t="s">
        <v>1009</v>
      </c>
      <c r="B317" s="421" t="s">
        <v>1010</v>
      </c>
      <c r="C317" s="422">
        <v>10345.69</v>
      </c>
      <c r="D317" s="422">
        <v>0</v>
      </c>
      <c r="E317" s="422">
        <v>10345.69</v>
      </c>
    </row>
    <row r="318" spans="1:5">
      <c r="A318" s="257" t="s">
        <v>1011</v>
      </c>
      <c r="B318" s="421" t="s">
        <v>1012</v>
      </c>
      <c r="C318" s="422">
        <v>40660.300000000003</v>
      </c>
      <c r="D318" s="422">
        <v>0</v>
      </c>
      <c r="E318" s="422">
        <v>40660.300000000003</v>
      </c>
    </row>
    <row r="319" spans="1:5">
      <c r="A319" s="257" t="s">
        <v>1013</v>
      </c>
      <c r="B319" s="421" t="s">
        <v>1014</v>
      </c>
      <c r="C319" s="422">
        <v>115086.03</v>
      </c>
      <c r="D319" s="422">
        <v>0</v>
      </c>
      <c r="E319" s="422">
        <v>115086.03</v>
      </c>
    </row>
    <row r="320" spans="1:5">
      <c r="A320" s="257" t="s">
        <v>1015</v>
      </c>
      <c r="B320" s="421" t="s">
        <v>1016</v>
      </c>
      <c r="C320" s="422">
        <v>60310.31</v>
      </c>
      <c r="D320" s="422">
        <v>0</v>
      </c>
      <c r="E320" s="422">
        <v>60310.31</v>
      </c>
    </row>
    <row r="321" spans="1:5">
      <c r="A321" s="257" t="s">
        <v>1017</v>
      </c>
      <c r="B321" s="421" t="s">
        <v>1018</v>
      </c>
      <c r="C321" s="422">
        <v>106641.87</v>
      </c>
      <c r="D321" s="422">
        <v>0</v>
      </c>
      <c r="E321" s="422">
        <v>106641.87</v>
      </c>
    </row>
    <row r="322" spans="1:5">
      <c r="A322" s="257" t="s">
        <v>1019</v>
      </c>
      <c r="B322" s="421" t="s">
        <v>1020</v>
      </c>
      <c r="C322" s="422">
        <v>138997.46</v>
      </c>
      <c r="D322" s="422">
        <v>0</v>
      </c>
      <c r="E322" s="422">
        <v>138997.46</v>
      </c>
    </row>
    <row r="323" spans="1:5">
      <c r="A323" s="257" t="s">
        <v>1021</v>
      </c>
      <c r="B323" s="421" t="s">
        <v>1022</v>
      </c>
      <c r="C323" s="422">
        <v>37649.49</v>
      </c>
      <c r="D323" s="422">
        <v>0</v>
      </c>
      <c r="E323" s="422">
        <v>37649.49</v>
      </c>
    </row>
    <row r="324" spans="1:5">
      <c r="A324" s="257" t="s">
        <v>1023</v>
      </c>
      <c r="B324" s="421" t="s">
        <v>1024</v>
      </c>
      <c r="C324" s="422">
        <v>46665537.509999998</v>
      </c>
      <c r="D324" s="422">
        <v>0</v>
      </c>
      <c r="E324" s="422">
        <v>46665537.509999998</v>
      </c>
    </row>
    <row r="325" spans="1:5">
      <c r="A325" s="257" t="s">
        <v>1025</v>
      </c>
      <c r="B325" s="421" t="s">
        <v>1026</v>
      </c>
      <c r="C325" s="422">
        <v>46665537.509999998</v>
      </c>
      <c r="D325" s="422">
        <v>0</v>
      </c>
      <c r="E325" s="422">
        <v>46665537.509999998</v>
      </c>
    </row>
    <row r="326" spans="1:5">
      <c r="A326" s="257" t="s">
        <v>1027</v>
      </c>
      <c r="B326" s="421" t="s">
        <v>1028</v>
      </c>
      <c r="C326" s="422">
        <v>42916264.710000001</v>
      </c>
      <c r="D326" s="422">
        <v>0</v>
      </c>
      <c r="E326" s="422">
        <v>42916264.710000001</v>
      </c>
    </row>
    <row r="327" spans="1:5">
      <c r="A327" s="257" t="s">
        <v>1029</v>
      </c>
      <c r="B327" s="421" t="s">
        <v>1030</v>
      </c>
      <c r="C327" s="422">
        <v>38246796.359999999</v>
      </c>
      <c r="D327" s="422">
        <v>0</v>
      </c>
      <c r="E327" s="422">
        <v>38246796.359999999</v>
      </c>
    </row>
    <row r="328" spans="1:5">
      <c r="A328" s="257" t="s">
        <v>1031</v>
      </c>
      <c r="B328" s="421" t="s">
        <v>1032</v>
      </c>
      <c r="C328" s="422">
        <v>38246796.359999999</v>
      </c>
      <c r="D328" s="422">
        <v>0</v>
      </c>
      <c r="E328" s="422">
        <v>38246796.359999999</v>
      </c>
    </row>
    <row r="329" spans="1:5">
      <c r="A329" s="257" t="s">
        <v>1033</v>
      </c>
      <c r="B329" s="421" t="s">
        <v>1034</v>
      </c>
      <c r="C329" s="422">
        <v>22948077.82</v>
      </c>
      <c r="D329" s="422">
        <v>0</v>
      </c>
      <c r="E329" s="422">
        <v>22948077.82</v>
      </c>
    </row>
    <row r="330" spans="1:5">
      <c r="A330" s="257" t="s">
        <v>1035</v>
      </c>
      <c r="B330" s="421" t="s">
        <v>1036</v>
      </c>
      <c r="C330" s="422">
        <v>1912339.82</v>
      </c>
      <c r="D330" s="422">
        <v>0</v>
      </c>
      <c r="E330" s="422">
        <v>1912339.82</v>
      </c>
    </row>
    <row r="331" spans="1:5">
      <c r="A331" s="257" t="s">
        <v>1037</v>
      </c>
      <c r="B331" s="421" t="s">
        <v>1038</v>
      </c>
      <c r="C331" s="422">
        <v>5737019.4500000002</v>
      </c>
      <c r="D331" s="422">
        <v>0</v>
      </c>
      <c r="E331" s="422">
        <v>5737019.4500000002</v>
      </c>
    </row>
    <row r="332" spans="1:5">
      <c r="A332" s="257" t="s">
        <v>1039</v>
      </c>
      <c r="B332" s="421" t="s">
        <v>347</v>
      </c>
      <c r="C332" s="422">
        <v>7649359.2699999996</v>
      </c>
      <c r="D332" s="422">
        <v>0</v>
      </c>
      <c r="E332" s="422">
        <v>7649359.2699999996</v>
      </c>
    </row>
    <row r="333" spans="1:5">
      <c r="A333" s="257" t="s">
        <v>1040</v>
      </c>
      <c r="B333" s="421" t="s">
        <v>1041</v>
      </c>
      <c r="C333" s="422">
        <v>3902843.86</v>
      </c>
      <c r="D333" s="422">
        <v>0</v>
      </c>
      <c r="E333" s="422">
        <v>3902843.86</v>
      </c>
    </row>
    <row r="334" spans="1:5">
      <c r="A334" s="257" t="s">
        <v>1042</v>
      </c>
      <c r="B334" s="421" t="s">
        <v>1043</v>
      </c>
      <c r="C334" s="422">
        <v>3902843.86</v>
      </c>
      <c r="D334" s="422">
        <v>0</v>
      </c>
      <c r="E334" s="422">
        <v>3902843.86</v>
      </c>
    </row>
    <row r="335" spans="1:5">
      <c r="A335" s="257" t="s">
        <v>1044</v>
      </c>
      <c r="B335" s="421" t="s">
        <v>1045</v>
      </c>
      <c r="C335" s="422">
        <v>2341706.3199999998</v>
      </c>
      <c r="D335" s="422">
        <v>0</v>
      </c>
      <c r="E335" s="422">
        <v>2341706.3199999998</v>
      </c>
    </row>
    <row r="336" spans="1:5">
      <c r="A336" s="257" t="s">
        <v>1046</v>
      </c>
      <c r="B336" s="421" t="s">
        <v>1047</v>
      </c>
      <c r="C336" s="422">
        <v>195142.19</v>
      </c>
      <c r="D336" s="422">
        <v>0</v>
      </c>
      <c r="E336" s="422">
        <v>195142.19</v>
      </c>
    </row>
    <row r="337" spans="1:5">
      <c r="A337" s="257" t="s">
        <v>1048</v>
      </c>
      <c r="B337" s="421" t="s">
        <v>1049</v>
      </c>
      <c r="C337" s="422">
        <v>585426.57999999996</v>
      </c>
      <c r="D337" s="422">
        <v>0</v>
      </c>
      <c r="E337" s="422">
        <v>585426.57999999996</v>
      </c>
    </row>
    <row r="338" spans="1:5">
      <c r="A338" s="257" t="s">
        <v>1050</v>
      </c>
      <c r="B338" s="421" t="s">
        <v>349</v>
      </c>
      <c r="C338" s="422">
        <v>780568.77</v>
      </c>
      <c r="D338" s="422">
        <v>0</v>
      </c>
      <c r="E338" s="422">
        <v>780568.77</v>
      </c>
    </row>
    <row r="339" spans="1:5">
      <c r="A339" s="257" t="s">
        <v>1051</v>
      </c>
      <c r="B339" s="421" t="s">
        <v>1052</v>
      </c>
      <c r="C339" s="422">
        <v>561182.43000000005</v>
      </c>
      <c r="D339" s="422">
        <v>0</v>
      </c>
      <c r="E339" s="422">
        <v>561182.43000000005</v>
      </c>
    </row>
    <row r="340" spans="1:5">
      <c r="A340" s="257" t="s">
        <v>1053</v>
      </c>
      <c r="B340" s="421" t="s">
        <v>1054</v>
      </c>
      <c r="C340" s="422">
        <v>561182.43000000005</v>
      </c>
      <c r="D340" s="422">
        <v>0</v>
      </c>
      <c r="E340" s="422">
        <v>561182.43000000005</v>
      </c>
    </row>
    <row r="341" spans="1:5">
      <c r="A341" s="257" t="s">
        <v>1055</v>
      </c>
      <c r="B341" s="421" t="s">
        <v>1056</v>
      </c>
      <c r="C341" s="422">
        <v>336709.46</v>
      </c>
      <c r="D341" s="422">
        <v>0</v>
      </c>
      <c r="E341" s="422">
        <v>336709.46</v>
      </c>
    </row>
    <row r="342" spans="1:5">
      <c r="A342" s="257" t="s">
        <v>1057</v>
      </c>
      <c r="B342" s="421" t="s">
        <v>1058</v>
      </c>
      <c r="C342" s="422">
        <v>28059.119999999999</v>
      </c>
      <c r="D342" s="422">
        <v>0</v>
      </c>
      <c r="E342" s="422">
        <v>28059.119999999999</v>
      </c>
    </row>
    <row r="343" spans="1:5">
      <c r="A343" s="257" t="s">
        <v>1059</v>
      </c>
      <c r="B343" s="421" t="s">
        <v>1060</v>
      </c>
      <c r="C343" s="422">
        <v>84177.36</v>
      </c>
      <c r="D343" s="422">
        <v>0</v>
      </c>
      <c r="E343" s="422">
        <v>84177.36</v>
      </c>
    </row>
    <row r="344" spans="1:5">
      <c r="A344" s="257" t="s">
        <v>1061</v>
      </c>
      <c r="B344" s="421" t="s">
        <v>351</v>
      </c>
      <c r="C344" s="422">
        <v>112236.49</v>
      </c>
      <c r="D344" s="422">
        <v>0</v>
      </c>
      <c r="E344" s="422">
        <v>112236.49</v>
      </c>
    </row>
    <row r="345" spans="1:5">
      <c r="A345" s="257" t="s">
        <v>1062</v>
      </c>
      <c r="B345" s="421" t="s">
        <v>1063</v>
      </c>
      <c r="C345" s="422">
        <v>133709.76000000001</v>
      </c>
      <c r="D345" s="422">
        <v>0</v>
      </c>
      <c r="E345" s="422">
        <v>133709.76000000001</v>
      </c>
    </row>
    <row r="346" spans="1:5">
      <c r="A346" s="257" t="s">
        <v>1064</v>
      </c>
      <c r="B346" s="421" t="s">
        <v>1065</v>
      </c>
      <c r="C346" s="422">
        <v>133709.76000000001</v>
      </c>
      <c r="D346" s="422">
        <v>0</v>
      </c>
      <c r="E346" s="422">
        <v>133709.76000000001</v>
      </c>
    </row>
    <row r="347" spans="1:5">
      <c r="A347" s="257" t="s">
        <v>1066</v>
      </c>
      <c r="B347" s="421" t="s">
        <v>1067</v>
      </c>
      <c r="C347" s="422">
        <v>71732.3</v>
      </c>
      <c r="D347" s="422">
        <v>0</v>
      </c>
      <c r="E347" s="422">
        <v>71732.3</v>
      </c>
    </row>
    <row r="348" spans="1:5">
      <c r="A348" s="257" t="s">
        <v>1068</v>
      </c>
      <c r="B348" s="421" t="s">
        <v>1069</v>
      </c>
      <c r="C348" s="422">
        <v>71732.3</v>
      </c>
      <c r="D348" s="422">
        <v>0</v>
      </c>
      <c r="E348" s="422">
        <v>71732.3</v>
      </c>
    </row>
    <row r="349" spans="1:5">
      <c r="A349" s="257" t="s">
        <v>1070</v>
      </c>
      <c r="B349" s="421" t="s">
        <v>1071</v>
      </c>
      <c r="C349" s="422">
        <v>71732.3</v>
      </c>
      <c r="D349" s="422">
        <v>0</v>
      </c>
      <c r="E349" s="422">
        <v>71732.3</v>
      </c>
    </row>
    <row r="350" spans="1:5">
      <c r="A350" s="257" t="s">
        <v>1072</v>
      </c>
      <c r="B350" s="421" t="s">
        <v>1073</v>
      </c>
      <c r="C350" s="422">
        <v>276668.59000000003</v>
      </c>
      <c r="D350" s="422">
        <v>0</v>
      </c>
      <c r="E350" s="422">
        <v>276668.59000000003</v>
      </c>
    </row>
    <row r="351" spans="1:5">
      <c r="A351" s="257" t="s">
        <v>1074</v>
      </c>
      <c r="B351" s="421" t="s">
        <v>1075</v>
      </c>
      <c r="C351" s="422">
        <v>276668.59000000003</v>
      </c>
      <c r="D351" s="422">
        <v>0</v>
      </c>
      <c r="E351" s="422">
        <v>276668.59000000003</v>
      </c>
    </row>
    <row r="352" spans="1:5">
      <c r="A352" s="257" t="s">
        <v>1076</v>
      </c>
      <c r="B352" s="421" t="s">
        <v>1077</v>
      </c>
      <c r="C352" s="422">
        <v>276668.59000000003</v>
      </c>
      <c r="D352" s="422">
        <v>0</v>
      </c>
      <c r="E352" s="422">
        <v>276668.59000000003</v>
      </c>
    </row>
    <row r="353" spans="1:5">
      <c r="A353" s="257" t="s">
        <v>1078</v>
      </c>
      <c r="B353" s="421" t="s">
        <v>1079</v>
      </c>
      <c r="C353" s="422">
        <v>1307271.67</v>
      </c>
      <c r="D353" s="422">
        <v>0</v>
      </c>
      <c r="E353" s="422">
        <v>1307271.67</v>
      </c>
    </row>
    <row r="354" spans="1:5">
      <c r="A354" s="257" t="s">
        <v>1080</v>
      </c>
      <c r="B354" s="421" t="s">
        <v>1079</v>
      </c>
      <c r="C354" s="422">
        <v>1307271.67</v>
      </c>
      <c r="D354" s="422">
        <v>0</v>
      </c>
      <c r="E354" s="422">
        <v>1307271.67</v>
      </c>
    </row>
    <row r="355" spans="1:5">
      <c r="A355" s="257" t="s">
        <v>1081</v>
      </c>
      <c r="B355" s="421" t="s">
        <v>1082</v>
      </c>
      <c r="C355" s="422">
        <v>1307271.67</v>
      </c>
      <c r="D355" s="422">
        <v>0</v>
      </c>
      <c r="E355" s="422">
        <v>1307271.67</v>
      </c>
    </row>
    <row r="356" spans="1:5">
      <c r="A356" s="257" t="s">
        <v>1083</v>
      </c>
      <c r="B356" s="421" t="s">
        <v>1084</v>
      </c>
      <c r="C356" s="422">
        <v>356563.72</v>
      </c>
      <c r="D356" s="422">
        <v>0</v>
      </c>
      <c r="E356" s="422">
        <v>356563.72</v>
      </c>
    </row>
    <row r="357" spans="1:5">
      <c r="A357" s="257" t="s">
        <v>1085</v>
      </c>
      <c r="B357" s="421" t="s">
        <v>1086</v>
      </c>
      <c r="C357" s="422">
        <v>165443.76</v>
      </c>
      <c r="D357" s="422">
        <v>0</v>
      </c>
      <c r="E357" s="422">
        <v>165443.76</v>
      </c>
    </row>
    <row r="358" spans="1:5">
      <c r="A358" s="257" t="s">
        <v>1087</v>
      </c>
      <c r="B358" s="421" t="s">
        <v>1088</v>
      </c>
      <c r="C358" s="422">
        <v>123574.42</v>
      </c>
      <c r="D358" s="422">
        <v>0</v>
      </c>
      <c r="E358" s="422">
        <v>123574.42</v>
      </c>
    </row>
    <row r="359" spans="1:5">
      <c r="A359" s="257" t="s">
        <v>1089</v>
      </c>
      <c r="B359" s="421" t="s">
        <v>1090</v>
      </c>
      <c r="C359" s="422">
        <v>83492.12</v>
      </c>
      <c r="D359" s="422">
        <v>0</v>
      </c>
      <c r="E359" s="422">
        <v>83492.12</v>
      </c>
    </row>
    <row r="360" spans="1:5">
      <c r="A360" s="257" t="s">
        <v>1091</v>
      </c>
      <c r="B360" s="421" t="s">
        <v>1092</v>
      </c>
      <c r="C360" s="422">
        <v>407763.24</v>
      </c>
      <c r="D360" s="422">
        <v>0</v>
      </c>
      <c r="E360" s="422">
        <v>407763.24</v>
      </c>
    </row>
    <row r="361" spans="1:5">
      <c r="A361" s="257" t="s">
        <v>1093</v>
      </c>
      <c r="B361" s="421" t="s">
        <v>1094</v>
      </c>
      <c r="C361" s="422">
        <v>170434.41</v>
      </c>
      <c r="D361" s="422">
        <v>0</v>
      </c>
      <c r="E361" s="422">
        <v>170434.41</v>
      </c>
    </row>
    <row r="362" spans="1:5">
      <c r="A362" s="257" t="s">
        <v>1095</v>
      </c>
      <c r="B362" s="421" t="s">
        <v>1096</v>
      </c>
      <c r="C362" s="422">
        <v>2165332.54</v>
      </c>
      <c r="D362" s="422">
        <v>0</v>
      </c>
      <c r="E362" s="422">
        <v>2165332.54</v>
      </c>
    </row>
    <row r="363" spans="1:5">
      <c r="A363" s="257" t="s">
        <v>1097</v>
      </c>
      <c r="B363" s="421" t="s">
        <v>1098</v>
      </c>
      <c r="C363" s="422">
        <v>2165332.54</v>
      </c>
      <c r="D363" s="422">
        <v>0</v>
      </c>
      <c r="E363" s="422">
        <v>2165332.54</v>
      </c>
    </row>
    <row r="364" spans="1:5">
      <c r="A364" s="257" t="s">
        <v>1099</v>
      </c>
      <c r="B364" s="421" t="s">
        <v>1100</v>
      </c>
      <c r="C364" s="422">
        <v>2165332.54</v>
      </c>
      <c r="D364" s="422">
        <v>0</v>
      </c>
      <c r="E364" s="422">
        <v>2165332.54</v>
      </c>
    </row>
    <row r="365" spans="1:5">
      <c r="A365" s="257" t="s">
        <v>1101</v>
      </c>
      <c r="B365" s="421" t="s">
        <v>1102</v>
      </c>
      <c r="C365" s="422">
        <v>2165332.54</v>
      </c>
      <c r="D365" s="422">
        <v>0</v>
      </c>
      <c r="E365" s="422">
        <v>2165332.54</v>
      </c>
    </row>
    <row r="366" spans="1:5">
      <c r="A366" s="257" t="s">
        <v>1103</v>
      </c>
      <c r="B366" s="421" t="s">
        <v>1104</v>
      </c>
      <c r="C366" s="422">
        <v>125584.48</v>
      </c>
      <c r="D366" s="422">
        <v>0</v>
      </c>
      <c r="E366" s="422">
        <v>125584.48</v>
      </c>
    </row>
    <row r="368" spans="1:5">
      <c r="A368" s="434" t="s">
        <v>537</v>
      </c>
      <c r="B368" s="434"/>
      <c r="C368" s="434"/>
      <c r="D368" s="434"/>
      <c r="E368" s="434"/>
    </row>
    <row r="369" spans="1:5">
      <c r="A369" s="434" t="s">
        <v>318</v>
      </c>
      <c r="B369" s="434"/>
      <c r="C369" s="434"/>
      <c r="D369" s="434"/>
      <c r="E369" s="434"/>
    </row>
    <row r="370" spans="1:5">
      <c r="A370" s="436" t="s">
        <v>145</v>
      </c>
      <c r="B370" s="436"/>
      <c r="C370" s="438" t="s">
        <v>538</v>
      </c>
      <c r="D370" s="438"/>
      <c r="E370" s="438"/>
    </row>
    <row r="371" spans="1:5">
      <c r="A371" s="437"/>
      <c r="B371" s="437"/>
      <c r="C371" s="439" t="s">
        <v>539</v>
      </c>
      <c r="D371" s="439"/>
      <c r="E371" s="440" t="s">
        <v>540</v>
      </c>
    </row>
    <row r="372" spans="1:5">
      <c r="A372" s="436"/>
      <c r="B372" s="436"/>
      <c r="C372" s="420" t="s">
        <v>541</v>
      </c>
      <c r="D372" s="420" t="s">
        <v>542</v>
      </c>
      <c r="E372" s="441"/>
    </row>
    <row r="373" spans="1:5">
      <c r="A373" s="257" t="s">
        <v>1105</v>
      </c>
      <c r="B373" s="421" t="s">
        <v>1106</v>
      </c>
      <c r="C373" s="422">
        <v>125584.48</v>
      </c>
      <c r="D373" s="422">
        <v>0</v>
      </c>
      <c r="E373" s="422">
        <v>125584.48</v>
      </c>
    </row>
    <row r="374" spans="1:5">
      <c r="A374" s="257" t="s">
        <v>1107</v>
      </c>
      <c r="B374" s="421" t="s">
        <v>1108</v>
      </c>
      <c r="C374" s="422">
        <v>125584.48</v>
      </c>
      <c r="D374" s="422">
        <v>0</v>
      </c>
      <c r="E374" s="422">
        <v>125584.48</v>
      </c>
    </row>
    <row r="375" spans="1:5">
      <c r="A375" s="257" t="s">
        <v>1109</v>
      </c>
      <c r="B375" s="421" t="s">
        <v>1110</v>
      </c>
      <c r="C375" s="422">
        <v>125584.48</v>
      </c>
      <c r="D375" s="422">
        <v>0</v>
      </c>
      <c r="E375" s="422">
        <v>125584.48</v>
      </c>
    </row>
    <row r="376" spans="1:5">
      <c r="A376" s="257" t="s">
        <v>1111</v>
      </c>
      <c r="B376" s="421" t="s">
        <v>1112</v>
      </c>
      <c r="C376" s="422">
        <v>125584.48</v>
      </c>
      <c r="D376" s="422">
        <v>0</v>
      </c>
      <c r="E376" s="422">
        <v>125584.48</v>
      </c>
    </row>
    <row r="377" spans="1:5">
      <c r="A377" s="257" t="s">
        <v>1113</v>
      </c>
      <c r="B377" s="421" t="s">
        <v>1114</v>
      </c>
      <c r="C377" s="422">
        <v>125584.48</v>
      </c>
      <c r="D377" s="422">
        <v>0</v>
      </c>
      <c r="E377" s="422">
        <v>125584.48</v>
      </c>
    </row>
    <row r="378" spans="1:5">
      <c r="A378" s="257" t="s">
        <v>1115</v>
      </c>
      <c r="B378" s="421" t="s">
        <v>1116</v>
      </c>
      <c r="C378" s="422">
        <v>25511046.5</v>
      </c>
      <c r="D378" s="422">
        <v>0</v>
      </c>
      <c r="E378" s="422">
        <v>25511046.5</v>
      </c>
    </row>
    <row r="379" spans="1:5">
      <c r="A379" s="257" t="s">
        <v>1117</v>
      </c>
      <c r="B379" s="421" t="s">
        <v>1118</v>
      </c>
      <c r="C379" s="422">
        <v>25511046.5</v>
      </c>
      <c r="D379" s="422">
        <v>0</v>
      </c>
      <c r="E379" s="422">
        <v>25511046.5</v>
      </c>
    </row>
    <row r="380" spans="1:5">
      <c r="A380" s="257" t="s">
        <v>1119</v>
      </c>
      <c r="B380" s="421" t="s">
        <v>1120</v>
      </c>
      <c r="C380" s="422">
        <v>25511046.5</v>
      </c>
      <c r="D380" s="422">
        <v>0</v>
      </c>
      <c r="E380" s="422">
        <v>25511046.5</v>
      </c>
    </row>
    <row r="381" spans="1:5">
      <c r="A381" s="257" t="s">
        <v>1121</v>
      </c>
      <c r="B381" s="421" t="s">
        <v>1120</v>
      </c>
      <c r="C381" s="422">
        <v>25511046.5</v>
      </c>
      <c r="D381" s="422">
        <v>0</v>
      </c>
      <c r="E381" s="422">
        <v>25511046.5</v>
      </c>
    </row>
    <row r="382" spans="1:5">
      <c r="A382" s="257" t="s">
        <v>1122</v>
      </c>
      <c r="B382" s="421" t="s">
        <v>1123</v>
      </c>
      <c r="C382" s="422">
        <v>25511046.5</v>
      </c>
      <c r="D382" s="422">
        <v>0</v>
      </c>
      <c r="E382" s="422">
        <v>25511046.5</v>
      </c>
    </row>
    <row r="383" spans="1:5">
      <c r="A383" s="257" t="s">
        <v>1124</v>
      </c>
      <c r="B383" s="421" t="s">
        <v>214</v>
      </c>
      <c r="C383" s="422">
        <v>2249814.38</v>
      </c>
      <c r="D383" s="422">
        <v>0</v>
      </c>
      <c r="E383" s="422">
        <v>2249814.38</v>
      </c>
    </row>
    <row r="384" spans="1:5">
      <c r="A384" s="257" t="s">
        <v>1125</v>
      </c>
      <c r="B384" s="421" t="s">
        <v>1126</v>
      </c>
      <c r="C384" s="422">
        <v>56796.74</v>
      </c>
      <c r="D384" s="422">
        <v>0</v>
      </c>
      <c r="E384" s="422">
        <v>56796.74</v>
      </c>
    </row>
    <row r="385" spans="1:5">
      <c r="A385" s="257" t="s">
        <v>1127</v>
      </c>
      <c r="B385" s="421" t="s">
        <v>1128</v>
      </c>
      <c r="C385" s="422">
        <v>56796.74</v>
      </c>
      <c r="D385" s="422">
        <v>0</v>
      </c>
      <c r="E385" s="422">
        <v>56796.74</v>
      </c>
    </row>
    <row r="386" spans="1:5">
      <c r="A386" s="257" t="s">
        <v>1129</v>
      </c>
      <c r="B386" s="421" t="s">
        <v>1130</v>
      </c>
      <c r="C386" s="422">
        <v>53988.42</v>
      </c>
      <c r="D386" s="422">
        <v>0</v>
      </c>
      <c r="E386" s="422">
        <v>53988.42</v>
      </c>
    </row>
    <row r="387" spans="1:5">
      <c r="A387" s="257" t="s">
        <v>1131</v>
      </c>
      <c r="B387" s="421" t="s">
        <v>1132</v>
      </c>
      <c r="C387" s="422">
        <v>53988.42</v>
      </c>
      <c r="D387" s="422">
        <v>0</v>
      </c>
      <c r="E387" s="422">
        <v>53988.42</v>
      </c>
    </row>
    <row r="388" spans="1:5">
      <c r="A388" s="257" t="s">
        <v>1133</v>
      </c>
      <c r="B388" s="421" t="s">
        <v>1134</v>
      </c>
      <c r="C388" s="422">
        <v>33169.82</v>
      </c>
      <c r="D388" s="422">
        <v>0</v>
      </c>
      <c r="E388" s="422">
        <v>33169.82</v>
      </c>
    </row>
    <row r="389" spans="1:5">
      <c r="A389" s="257" t="s">
        <v>1135</v>
      </c>
      <c r="B389" s="421" t="s">
        <v>1136</v>
      </c>
      <c r="C389" s="422">
        <v>7763.81</v>
      </c>
      <c r="D389" s="422">
        <v>0</v>
      </c>
      <c r="E389" s="422">
        <v>7763.81</v>
      </c>
    </row>
    <row r="390" spans="1:5">
      <c r="A390" s="257" t="s">
        <v>1137</v>
      </c>
      <c r="B390" s="421" t="s">
        <v>1138</v>
      </c>
      <c r="C390" s="422">
        <v>19203.830000000002</v>
      </c>
      <c r="D390" s="422">
        <v>0</v>
      </c>
      <c r="E390" s="422">
        <v>19203.830000000002</v>
      </c>
    </row>
    <row r="391" spans="1:5">
      <c r="A391" s="257" t="s">
        <v>1139</v>
      </c>
      <c r="B391" s="421" t="s">
        <v>1140</v>
      </c>
      <c r="C391" s="422">
        <v>6202.18</v>
      </c>
      <c r="D391" s="422">
        <v>0</v>
      </c>
      <c r="E391" s="422">
        <v>6202.18</v>
      </c>
    </row>
    <row r="392" spans="1:5">
      <c r="A392" s="257" t="s">
        <v>1141</v>
      </c>
      <c r="B392" s="421" t="s">
        <v>1142</v>
      </c>
      <c r="C392" s="422">
        <v>427.3</v>
      </c>
      <c r="D392" s="422">
        <v>0</v>
      </c>
      <c r="E392" s="422">
        <v>427.3</v>
      </c>
    </row>
    <row r="393" spans="1:5">
      <c r="A393" s="257" t="s">
        <v>1143</v>
      </c>
      <c r="B393" s="421" t="s">
        <v>1144</v>
      </c>
      <c r="C393" s="422">
        <v>213.65</v>
      </c>
      <c r="D393" s="422">
        <v>0</v>
      </c>
      <c r="E393" s="422">
        <v>213.65</v>
      </c>
    </row>
    <row r="394" spans="1:5">
      <c r="A394" s="257" t="s">
        <v>1145</v>
      </c>
      <c r="B394" s="421" t="s">
        <v>1136</v>
      </c>
      <c r="C394" s="422">
        <v>28.51</v>
      </c>
      <c r="D394" s="422">
        <v>0</v>
      </c>
      <c r="E394" s="422">
        <v>28.51</v>
      </c>
    </row>
    <row r="395" spans="1:5">
      <c r="A395" s="257" t="s">
        <v>1146</v>
      </c>
      <c r="B395" s="421" t="s">
        <v>1138</v>
      </c>
      <c r="C395" s="422">
        <v>59.41</v>
      </c>
      <c r="D395" s="422">
        <v>0</v>
      </c>
      <c r="E395" s="422">
        <v>59.41</v>
      </c>
    </row>
    <row r="396" spans="1:5">
      <c r="A396" s="257" t="s">
        <v>1147</v>
      </c>
      <c r="B396" s="421" t="s">
        <v>1140</v>
      </c>
      <c r="C396" s="422">
        <v>102.71</v>
      </c>
      <c r="D396" s="422">
        <v>0</v>
      </c>
      <c r="E396" s="422">
        <v>102.71</v>
      </c>
    </row>
    <row r="397" spans="1:5">
      <c r="A397" s="257" t="s">
        <v>1148</v>
      </c>
      <c r="B397" s="421" t="s">
        <v>1149</v>
      </c>
      <c r="C397" s="422">
        <v>23.02</v>
      </c>
      <c r="D397" s="422">
        <v>0</v>
      </c>
      <c r="E397" s="422">
        <v>23.02</v>
      </c>
    </row>
    <row r="398" spans="1:5">
      <c r="A398" s="257" t="s">
        <v>1150</v>
      </c>
      <c r="B398" s="421" t="s">
        <v>1151</v>
      </c>
      <c r="C398" s="422">
        <v>19699.41</v>
      </c>
      <c r="D398" s="422">
        <v>0</v>
      </c>
      <c r="E398" s="422">
        <v>19699.41</v>
      </c>
    </row>
    <row r="399" spans="1:5">
      <c r="A399" s="257" t="s">
        <v>1152</v>
      </c>
      <c r="B399" s="421" t="s">
        <v>1144</v>
      </c>
      <c r="C399" s="422">
        <v>557.02</v>
      </c>
      <c r="D399" s="422">
        <v>0</v>
      </c>
      <c r="E399" s="422">
        <v>557.02</v>
      </c>
    </row>
    <row r="400" spans="1:5">
      <c r="A400" s="257" t="s">
        <v>1153</v>
      </c>
      <c r="B400" s="421" t="s">
        <v>1136</v>
      </c>
      <c r="C400" s="422">
        <v>602.05999999999995</v>
      </c>
      <c r="D400" s="422">
        <v>0</v>
      </c>
      <c r="E400" s="422">
        <v>602.05999999999995</v>
      </c>
    </row>
    <row r="401" spans="1:5">
      <c r="A401" s="257" t="s">
        <v>1154</v>
      </c>
      <c r="B401" s="421" t="s">
        <v>1138</v>
      </c>
      <c r="C401" s="422">
        <v>4490.5600000000004</v>
      </c>
      <c r="D401" s="422">
        <v>0</v>
      </c>
      <c r="E401" s="422">
        <v>4490.5600000000004</v>
      </c>
    </row>
    <row r="402" spans="1:5">
      <c r="A402" s="257" t="s">
        <v>1155</v>
      </c>
      <c r="B402" s="421" t="s">
        <v>1140</v>
      </c>
      <c r="C402" s="422">
        <v>14049.77</v>
      </c>
      <c r="D402" s="422">
        <v>0</v>
      </c>
      <c r="E402" s="422">
        <v>14049.77</v>
      </c>
    </row>
    <row r="403" spans="1:5">
      <c r="A403" s="257" t="s">
        <v>1156</v>
      </c>
      <c r="B403" s="421" t="s">
        <v>1157</v>
      </c>
      <c r="C403" s="422">
        <v>691.89</v>
      </c>
      <c r="D403" s="422">
        <v>0</v>
      </c>
      <c r="E403" s="422">
        <v>691.89</v>
      </c>
    </row>
    <row r="404" spans="1:5">
      <c r="A404" s="257" t="s">
        <v>1158</v>
      </c>
      <c r="B404" s="421" t="s">
        <v>1144</v>
      </c>
      <c r="C404" s="422">
        <v>295.22000000000003</v>
      </c>
      <c r="D404" s="422">
        <v>0</v>
      </c>
      <c r="E404" s="422">
        <v>295.22000000000003</v>
      </c>
    </row>
    <row r="405" spans="1:5">
      <c r="A405" s="257" t="s">
        <v>1159</v>
      </c>
      <c r="B405" s="421" t="s">
        <v>1136</v>
      </c>
      <c r="C405" s="422">
        <v>396.67</v>
      </c>
      <c r="D405" s="422">
        <v>0</v>
      </c>
      <c r="E405" s="422">
        <v>396.67</v>
      </c>
    </row>
    <row r="406" spans="1:5">
      <c r="A406" s="257" t="s">
        <v>1160</v>
      </c>
      <c r="B406" s="421" t="s">
        <v>1161</v>
      </c>
      <c r="C406" s="422">
        <v>2808.32</v>
      </c>
      <c r="D406" s="422">
        <v>0</v>
      </c>
      <c r="E406" s="422">
        <v>2808.32</v>
      </c>
    </row>
    <row r="407" spans="1:5">
      <c r="A407" s="257" t="s">
        <v>1162</v>
      </c>
      <c r="B407" s="421" t="s">
        <v>1163</v>
      </c>
      <c r="C407" s="422">
        <v>2808.32</v>
      </c>
      <c r="D407" s="422">
        <v>0</v>
      </c>
      <c r="E407" s="422">
        <v>2808.32</v>
      </c>
    </row>
    <row r="408" spans="1:5">
      <c r="A408" s="257" t="s">
        <v>1164</v>
      </c>
      <c r="B408" s="421" t="s">
        <v>1165</v>
      </c>
      <c r="C408" s="422">
        <v>2808.32</v>
      </c>
      <c r="D408" s="422">
        <v>0</v>
      </c>
      <c r="E408" s="422">
        <v>2808.32</v>
      </c>
    </row>
    <row r="409" spans="1:5">
      <c r="A409" s="257" t="s">
        <v>1166</v>
      </c>
      <c r="B409" s="421" t="s">
        <v>1167</v>
      </c>
      <c r="C409" s="422">
        <v>2808.32</v>
      </c>
      <c r="D409" s="422">
        <v>0</v>
      </c>
      <c r="E409" s="422">
        <v>2808.32</v>
      </c>
    </row>
    <row r="410" spans="1:5">
      <c r="A410" s="257" t="s">
        <v>1168</v>
      </c>
      <c r="B410" s="421" t="s">
        <v>222</v>
      </c>
      <c r="C410" s="422">
        <v>2193017.64</v>
      </c>
      <c r="D410" s="422">
        <v>0</v>
      </c>
      <c r="E410" s="422">
        <v>2193017.64</v>
      </c>
    </row>
    <row r="411" spans="1:5">
      <c r="A411" s="257" t="s">
        <v>1169</v>
      </c>
      <c r="B411" s="421" t="s">
        <v>1170</v>
      </c>
      <c r="C411" s="422">
        <v>1259763.58</v>
      </c>
      <c r="D411" s="422">
        <v>0</v>
      </c>
      <c r="E411" s="422">
        <v>1259763.58</v>
      </c>
    </row>
    <row r="412" spans="1:5">
      <c r="A412" s="257" t="s">
        <v>1171</v>
      </c>
      <c r="B412" s="421" t="s">
        <v>1170</v>
      </c>
      <c r="C412" s="422">
        <v>1259763.58</v>
      </c>
      <c r="D412" s="422">
        <v>0</v>
      </c>
      <c r="E412" s="422">
        <v>1259763.58</v>
      </c>
    </row>
    <row r="413" spans="1:5">
      <c r="A413" s="257" t="s">
        <v>1172</v>
      </c>
      <c r="B413" s="421" t="s">
        <v>339</v>
      </c>
      <c r="C413" s="422">
        <v>1259763.58</v>
      </c>
      <c r="D413" s="422">
        <v>0</v>
      </c>
      <c r="E413" s="422">
        <v>1259763.58</v>
      </c>
    </row>
    <row r="414" spans="1:5">
      <c r="A414" s="257" t="s">
        <v>1173</v>
      </c>
      <c r="B414" s="421" t="s">
        <v>1174</v>
      </c>
      <c r="C414" s="422">
        <v>3891.83</v>
      </c>
      <c r="D414" s="422">
        <v>0</v>
      </c>
      <c r="E414" s="422">
        <v>3891.83</v>
      </c>
    </row>
    <row r="415" spans="1:5">
      <c r="A415" s="257" t="s">
        <v>1175</v>
      </c>
      <c r="B415" s="421" t="s">
        <v>1176</v>
      </c>
      <c r="C415" s="422">
        <v>3891.83</v>
      </c>
      <c r="D415" s="422">
        <v>0</v>
      </c>
      <c r="E415" s="422">
        <v>3891.83</v>
      </c>
    </row>
    <row r="416" spans="1:5">
      <c r="A416" s="257" t="s">
        <v>1177</v>
      </c>
      <c r="B416" s="421" t="s">
        <v>1178</v>
      </c>
      <c r="C416" s="422">
        <v>3891.83</v>
      </c>
      <c r="D416" s="422">
        <v>0</v>
      </c>
      <c r="E416" s="422">
        <v>3891.83</v>
      </c>
    </row>
    <row r="417" spans="1:5">
      <c r="A417" s="257" t="s">
        <v>1179</v>
      </c>
      <c r="B417" s="421" t="s">
        <v>1180</v>
      </c>
      <c r="C417" s="422">
        <v>929362.23</v>
      </c>
      <c r="D417" s="422">
        <v>0</v>
      </c>
      <c r="E417" s="422">
        <v>929362.23</v>
      </c>
    </row>
    <row r="418" spans="1:5">
      <c r="A418" s="257" t="s">
        <v>1181</v>
      </c>
      <c r="B418" s="421" t="s">
        <v>1182</v>
      </c>
      <c r="C418" s="422">
        <v>922433.71</v>
      </c>
      <c r="D418" s="422">
        <v>0</v>
      </c>
      <c r="E418" s="422">
        <v>922433.71</v>
      </c>
    </row>
    <row r="419" spans="1:5">
      <c r="A419" s="257" t="s">
        <v>1183</v>
      </c>
      <c r="B419" s="421" t="s">
        <v>1184</v>
      </c>
      <c r="C419" s="422">
        <v>704693.18</v>
      </c>
      <c r="D419" s="422">
        <v>0</v>
      </c>
      <c r="E419" s="422">
        <v>704693.18</v>
      </c>
    </row>
    <row r="420" spans="1:5">
      <c r="A420" s="257" t="s">
        <v>1185</v>
      </c>
      <c r="B420" s="421" t="s">
        <v>341</v>
      </c>
      <c r="C420" s="422">
        <v>698996.23</v>
      </c>
      <c r="D420" s="422">
        <v>0</v>
      </c>
      <c r="E420" s="422">
        <v>698996.23</v>
      </c>
    </row>
    <row r="421" spans="1:5">
      <c r="A421" s="257" t="s">
        <v>1186</v>
      </c>
      <c r="B421" s="421" t="s">
        <v>1187</v>
      </c>
      <c r="C421" s="422">
        <v>5696.95</v>
      </c>
      <c r="D421" s="422">
        <v>0</v>
      </c>
      <c r="E421" s="422">
        <v>5696.95</v>
      </c>
    </row>
    <row r="422" spans="1:5">
      <c r="A422" s="257" t="s">
        <v>1188</v>
      </c>
      <c r="B422" s="421" t="s">
        <v>1189</v>
      </c>
      <c r="C422" s="422">
        <v>217740.53</v>
      </c>
      <c r="D422" s="422">
        <v>0</v>
      </c>
      <c r="E422" s="422">
        <v>217740.53</v>
      </c>
    </row>
    <row r="423" spans="1:5">
      <c r="A423" s="257" t="s">
        <v>1190</v>
      </c>
      <c r="B423" s="421" t="s">
        <v>1191</v>
      </c>
      <c r="C423" s="422">
        <v>217740.53</v>
      </c>
      <c r="D423" s="422">
        <v>0</v>
      </c>
      <c r="E423" s="422">
        <v>217740.53</v>
      </c>
    </row>
    <row r="424" spans="1:5">
      <c r="A424" s="257" t="s">
        <v>1192</v>
      </c>
      <c r="B424" s="421" t="s">
        <v>1193</v>
      </c>
      <c r="C424" s="422">
        <v>6928.52</v>
      </c>
      <c r="D424" s="422">
        <v>0</v>
      </c>
      <c r="E424" s="422">
        <v>6928.52</v>
      </c>
    </row>
    <row r="425" spans="1:5">
      <c r="A425" s="257" t="s">
        <v>1194</v>
      </c>
      <c r="B425" s="421" t="s">
        <v>1195</v>
      </c>
      <c r="C425" s="422">
        <v>6928.52</v>
      </c>
      <c r="D425" s="422">
        <v>0</v>
      </c>
      <c r="E425" s="422">
        <v>6928.52</v>
      </c>
    </row>
    <row r="426" spans="1:5">
      <c r="A426" s="309"/>
      <c r="B426" s="309"/>
      <c r="C426" s="309"/>
      <c r="D426" s="309"/>
      <c r="E426" s="309"/>
    </row>
    <row r="428" spans="1:5">
      <c r="A428" s="434" t="s">
        <v>537</v>
      </c>
      <c r="B428" s="434"/>
      <c r="C428" s="434"/>
      <c r="D428" s="434"/>
      <c r="E428" s="434"/>
    </row>
    <row r="429" spans="1:5">
      <c r="A429" s="434" t="s">
        <v>318</v>
      </c>
      <c r="B429" s="434"/>
      <c r="C429" s="434"/>
      <c r="D429" s="434"/>
      <c r="E429" s="434"/>
    </row>
    <row r="430" spans="1:5">
      <c r="A430" s="436" t="s">
        <v>145</v>
      </c>
      <c r="B430" s="436"/>
      <c r="C430" s="438" t="s">
        <v>538</v>
      </c>
      <c r="D430" s="438"/>
      <c r="E430" s="438"/>
    </row>
    <row r="431" spans="1:5">
      <c r="A431" s="437"/>
      <c r="B431" s="437"/>
      <c r="C431" s="439" t="s">
        <v>539</v>
      </c>
      <c r="D431" s="439"/>
      <c r="E431" s="440" t="s">
        <v>540</v>
      </c>
    </row>
    <row r="432" spans="1:5">
      <c r="A432" s="436"/>
      <c r="B432" s="436"/>
      <c r="C432" s="420" t="s">
        <v>541</v>
      </c>
      <c r="D432" s="420" t="s">
        <v>542</v>
      </c>
      <c r="E432" s="441"/>
    </row>
    <row r="433" spans="1:5">
      <c r="A433" s="442" t="s">
        <v>1196</v>
      </c>
      <c r="B433" s="442"/>
      <c r="C433" s="309"/>
      <c r="D433" s="309"/>
      <c r="E433" s="309"/>
    </row>
    <row r="434" spans="1:5">
      <c r="A434" s="257" t="s">
        <v>1197</v>
      </c>
      <c r="B434" s="421" t="s">
        <v>1198</v>
      </c>
      <c r="C434" s="422">
        <v>31731831.030000001</v>
      </c>
      <c r="D434" s="422">
        <v>0</v>
      </c>
      <c r="E434" s="422">
        <v>31731831.030000001</v>
      </c>
    </row>
    <row r="435" spans="1:5">
      <c r="A435" s="257" t="s">
        <v>1199</v>
      </c>
      <c r="B435" s="421" t="s">
        <v>768</v>
      </c>
      <c r="C435" s="422">
        <v>12154868.640000001</v>
      </c>
      <c r="D435" s="422">
        <v>0</v>
      </c>
      <c r="E435" s="422">
        <v>12154868.640000001</v>
      </c>
    </row>
    <row r="436" spans="1:5">
      <c r="A436" s="257" t="s">
        <v>1200</v>
      </c>
      <c r="B436" s="421" t="s">
        <v>770</v>
      </c>
      <c r="C436" s="422">
        <v>12154868.640000001</v>
      </c>
      <c r="D436" s="422">
        <v>0</v>
      </c>
      <c r="E436" s="422">
        <v>12154868.640000001</v>
      </c>
    </row>
    <row r="437" spans="1:5">
      <c r="A437" s="257" t="s">
        <v>1201</v>
      </c>
      <c r="B437" s="421" t="s">
        <v>772</v>
      </c>
      <c r="C437" s="422">
        <v>10551666.48</v>
      </c>
      <c r="D437" s="422">
        <v>0</v>
      </c>
      <c r="E437" s="422">
        <v>10551666.48</v>
      </c>
    </row>
    <row r="438" spans="1:5">
      <c r="A438" s="257" t="s">
        <v>1202</v>
      </c>
      <c r="B438" s="421" t="s">
        <v>785</v>
      </c>
      <c r="C438" s="422">
        <v>8619302.4299999997</v>
      </c>
      <c r="D438" s="422">
        <v>0</v>
      </c>
      <c r="E438" s="422">
        <v>8619302.4299999997</v>
      </c>
    </row>
    <row r="439" spans="1:5">
      <c r="A439" s="257" t="s">
        <v>1203</v>
      </c>
      <c r="B439" s="421" t="s">
        <v>787</v>
      </c>
      <c r="C439" s="422">
        <v>6607747.2999999998</v>
      </c>
      <c r="D439" s="422">
        <v>0</v>
      </c>
      <c r="E439" s="422">
        <v>6607747.2999999998</v>
      </c>
    </row>
    <row r="440" spans="1:5">
      <c r="A440" s="257" t="s">
        <v>1204</v>
      </c>
      <c r="B440" s="421" t="s">
        <v>329</v>
      </c>
      <c r="C440" s="422">
        <v>6607747.2999999998</v>
      </c>
      <c r="D440" s="422">
        <v>0</v>
      </c>
      <c r="E440" s="422">
        <v>6607747.2999999998</v>
      </c>
    </row>
    <row r="441" spans="1:5">
      <c r="A441" s="257" t="s">
        <v>1205</v>
      </c>
      <c r="B441" s="421" t="s">
        <v>1206</v>
      </c>
      <c r="C441" s="422">
        <v>6607747.2999999998</v>
      </c>
      <c r="D441" s="422">
        <v>0</v>
      </c>
      <c r="E441" s="422">
        <v>6607747.2999999998</v>
      </c>
    </row>
    <row r="442" spans="1:5">
      <c r="A442" s="257" t="s">
        <v>1207</v>
      </c>
      <c r="B442" s="421" t="s">
        <v>1208</v>
      </c>
      <c r="C442" s="422">
        <v>1902266.18</v>
      </c>
      <c r="D442" s="422">
        <v>0</v>
      </c>
      <c r="E442" s="422">
        <v>1902266.18</v>
      </c>
    </row>
    <row r="443" spans="1:5">
      <c r="A443" s="257" t="s">
        <v>1209</v>
      </c>
      <c r="B443" s="421" t="s">
        <v>1210</v>
      </c>
      <c r="C443" s="422">
        <v>1902266.18</v>
      </c>
      <c r="D443" s="422">
        <v>0</v>
      </c>
      <c r="E443" s="422">
        <v>1902266.18</v>
      </c>
    </row>
    <row r="444" spans="1:5">
      <c r="A444" s="257" t="s">
        <v>1211</v>
      </c>
      <c r="B444" s="421" t="s">
        <v>1212</v>
      </c>
      <c r="C444" s="422">
        <v>109288.95</v>
      </c>
      <c r="D444" s="422">
        <v>0</v>
      </c>
      <c r="E444" s="422">
        <v>109288.95</v>
      </c>
    </row>
    <row r="445" spans="1:5">
      <c r="A445" s="257" t="s">
        <v>1213</v>
      </c>
      <c r="B445" s="421" t="s">
        <v>1214</v>
      </c>
      <c r="C445" s="422">
        <v>109288.95</v>
      </c>
      <c r="D445" s="422">
        <v>0</v>
      </c>
      <c r="E445" s="422">
        <v>109288.95</v>
      </c>
    </row>
    <row r="446" spans="1:5">
      <c r="A446" s="257" t="s">
        <v>1215</v>
      </c>
      <c r="B446" s="421" t="s">
        <v>1216</v>
      </c>
      <c r="C446" s="422">
        <v>1932364.05</v>
      </c>
      <c r="D446" s="422">
        <v>0</v>
      </c>
      <c r="E446" s="422">
        <v>1932364.05</v>
      </c>
    </row>
    <row r="447" spans="1:5">
      <c r="A447" s="257" t="s">
        <v>1217</v>
      </c>
      <c r="B447" s="421" t="s">
        <v>1218</v>
      </c>
      <c r="C447" s="422">
        <v>1932364.05</v>
      </c>
      <c r="D447" s="422">
        <v>0</v>
      </c>
      <c r="E447" s="422">
        <v>1932364.05</v>
      </c>
    </row>
    <row r="448" spans="1:5">
      <c r="A448" s="257" t="s">
        <v>1219</v>
      </c>
      <c r="B448" s="421" t="s">
        <v>1220</v>
      </c>
      <c r="C448" s="422">
        <v>1099534.7</v>
      </c>
      <c r="D448" s="422">
        <v>0</v>
      </c>
      <c r="E448" s="422">
        <v>1099534.7</v>
      </c>
    </row>
    <row r="449" spans="1:5">
      <c r="A449" s="257" t="s">
        <v>1221</v>
      </c>
      <c r="B449" s="421" t="s">
        <v>1222</v>
      </c>
      <c r="C449" s="422">
        <v>832829.35</v>
      </c>
      <c r="D449" s="422">
        <v>0</v>
      </c>
      <c r="E449" s="422">
        <v>832829.35</v>
      </c>
    </row>
    <row r="450" spans="1:5">
      <c r="A450" s="257" t="s">
        <v>1223</v>
      </c>
      <c r="B450" s="421" t="s">
        <v>790</v>
      </c>
      <c r="C450" s="422">
        <v>1603202.16</v>
      </c>
      <c r="D450" s="422">
        <v>0</v>
      </c>
      <c r="E450" s="422">
        <v>1603202.16</v>
      </c>
    </row>
    <row r="451" spans="1:5">
      <c r="A451" s="257" t="s">
        <v>1224</v>
      </c>
      <c r="B451" s="421" t="s">
        <v>792</v>
      </c>
      <c r="C451" s="422">
        <v>1603202.16</v>
      </c>
      <c r="D451" s="422">
        <v>0</v>
      </c>
      <c r="E451" s="422">
        <v>1603202.16</v>
      </c>
    </row>
    <row r="452" spans="1:5">
      <c r="A452" s="257" t="s">
        <v>1225</v>
      </c>
      <c r="B452" s="421" t="s">
        <v>1226</v>
      </c>
      <c r="C452" s="422">
        <v>1603202.16</v>
      </c>
      <c r="D452" s="422">
        <v>0</v>
      </c>
      <c r="E452" s="422">
        <v>1603202.16</v>
      </c>
    </row>
    <row r="453" spans="1:5">
      <c r="A453" s="257" t="s">
        <v>1227</v>
      </c>
      <c r="B453" s="421" t="s">
        <v>1228</v>
      </c>
      <c r="C453" s="422">
        <v>1603202.16</v>
      </c>
      <c r="D453" s="422">
        <v>0</v>
      </c>
      <c r="E453" s="422">
        <v>1603202.16</v>
      </c>
    </row>
    <row r="454" spans="1:5">
      <c r="A454" s="257" t="s">
        <v>1229</v>
      </c>
      <c r="B454" s="421" t="s">
        <v>214</v>
      </c>
      <c r="C454" s="422">
        <v>19576962.390000001</v>
      </c>
      <c r="D454" s="422">
        <v>0</v>
      </c>
      <c r="E454" s="422">
        <v>19576962.390000001</v>
      </c>
    </row>
    <row r="455" spans="1:5">
      <c r="A455" s="257" t="s">
        <v>1230</v>
      </c>
      <c r="B455" s="421" t="s">
        <v>222</v>
      </c>
      <c r="C455" s="422">
        <v>19576962.390000001</v>
      </c>
      <c r="D455" s="422">
        <v>0</v>
      </c>
      <c r="E455" s="422">
        <v>19576962.390000001</v>
      </c>
    </row>
    <row r="456" spans="1:5">
      <c r="A456" s="257" t="s">
        <v>1231</v>
      </c>
      <c r="B456" s="421" t="s">
        <v>1232</v>
      </c>
      <c r="C456" s="422">
        <v>19576962.390000001</v>
      </c>
      <c r="D456" s="422">
        <v>0</v>
      </c>
      <c r="E456" s="422">
        <v>19576962.390000001</v>
      </c>
    </row>
    <row r="457" spans="1:5">
      <c r="A457" s="257" t="s">
        <v>1233</v>
      </c>
      <c r="B457" s="421" t="s">
        <v>1232</v>
      </c>
      <c r="C457" s="422">
        <v>19576962.390000001</v>
      </c>
      <c r="D457" s="422">
        <v>0</v>
      </c>
      <c r="E457" s="422">
        <v>19576962.390000001</v>
      </c>
    </row>
    <row r="458" spans="1:5">
      <c r="A458" s="257" t="s">
        <v>1234</v>
      </c>
      <c r="B458" s="421" t="s">
        <v>1235</v>
      </c>
      <c r="C458" s="422">
        <v>5026557.8</v>
      </c>
      <c r="D458" s="422">
        <v>0</v>
      </c>
      <c r="E458" s="422">
        <v>5026557.8</v>
      </c>
    </row>
    <row r="459" spans="1:5">
      <c r="A459" s="257" t="s">
        <v>1236</v>
      </c>
      <c r="B459" s="421" t="s">
        <v>1237</v>
      </c>
      <c r="C459" s="422">
        <v>14550404.59</v>
      </c>
      <c r="D459" s="422">
        <v>0</v>
      </c>
      <c r="E459" s="422">
        <v>14550404.59</v>
      </c>
    </row>
    <row r="460" spans="1:5">
      <c r="A460" s="309"/>
      <c r="B460" s="309"/>
      <c r="C460" s="309"/>
      <c r="D460" s="309"/>
      <c r="E460" s="309"/>
    </row>
    <row r="461" spans="1:5">
      <c r="A461" s="442" t="s">
        <v>1238</v>
      </c>
      <c r="B461" s="442"/>
      <c r="C461" s="309"/>
      <c r="D461" s="309"/>
      <c r="E461" s="309"/>
    </row>
    <row r="462" spans="1:5">
      <c r="A462" s="257" t="s">
        <v>1239</v>
      </c>
      <c r="B462" s="421" t="s">
        <v>1240</v>
      </c>
      <c r="C462" s="422">
        <v>5006081.8499999996</v>
      </c>
      <c r="D462" s="422">
        <v>0</v>
      </c>
      <c r="E462" s="422">
        <v>5006081.8499999996</v>
      </c>
    </row>
    <row r="463" spans="1:5">
      <c r="A463" s="257" t="s">
        <v>1241</v>
      </c>
      <c r="B463" s="421" t="s">
        <v>1242</v>
      </c>
      <c r="C463" s="422">
        <v>5000000</v>
      </c>
      <c r="D463" s="422">
        <v>0</v>
      </c>
      <c r="E463" s="422">
        <v>5000000</v>
      </c>
    </row>
    <row r="464" spans="1:5">
      <c r="A464" s="257" t="s">
        <v>1243</v>
      </c>
      <c r="B464" s="421" t="s">
        <v>1244</v>
      </c>
      <c r="C464" s="422">
        <v>5000000</v>
      </c>
      <c r="D464" s="422">
        <v>0</v>
      </c>
      <c r="E464" s="422">
        <v>5000000</v>
      </c>
    </row>
    <row r="465" spans="1:5">
      <c r="A465" s="257" t="s">
        <v>1245</v>
      </c>
      <c r="B465" s="421" t="s">
        <v>1246</v>
      </c>
      <c r="C465" s="422">
        <v>5000000</v>
      </c>
      <c r="D465" s="422">
        <v>0</v>
      </c>
      <c r="E465" s="422">
        <v>5000000</v>
      </c>
    </row>
    <row r="466" spans="1:5">
      <c r="A466" s="257" t="s">
        <v>1247</v>
      </c>
      <c r="B466" s="421" t="s">
        <v>1248</v>
      </c>
      <c r="C466" s="422">
        <v>5000000</v>
      </c>
      <c r="D466" s="422">
        <v>0</v>
      </c>
      <c r="E466" s="422">
        <v>5000000</v>
      </c>
    </row>
    <row r="467" spans="1:5">
      <c r="A467" s="257" t="s">
        <v>1249</v>
      </c>
      <c r="B467" s="421" t="s">
        <v>1250</v>
      </c>
      <c r="C467" s="422">
        <v>5000000</v>
      </c>
      <c r="D467" s="422">
        <v>0</v>
      </c>
      <c r="E467" s="422">
        <v>5000000</v>
      </c>
    </row>
    <row r="468" spans="1:5">
      <c r="A468" s="257" t="s">
        <v>1251</v>
      </c>
      <c r="B468" s="421" t="s">
        <v>1252</v>
      </c>
      <c r="C468" s="422">
        <v>5000000</v>
      </c>
      <c r="D468" s="422">
        <v>0</v>
      </c>
      <c r="E468" s="422">
        <v>5000000</v>
      </c>
    </row>
    <row r="469" spans="1:5">
      <c r="A469" s="257" t="s">
        <v>1253</v>
      </c>
      <c r="B469" s="421" t="s">
        <v>1254</v>
      </c>
      <c r="C469" s="422">
        <v>5000000</v>
      </c>
      <c r="D469" s="422">
        <v>0</v>
      </c>
      <c r="E469" s="422">
        <v>5000000</v>
      </c>
    </row>
    <row r="470" spans="1:5">
      <c r="A470" s="257" t="s">
        <v>1255</v>
      </c>
      <c r="B470" s="421" t="s">
        <v>226</v>
      </c>
      <c r="C470" s="422">
        <v>6081.85</v>
      </c>
      <c r="D470" s="422">
        <v>0</v>
      </c>
      <c r="E470" s="422">
        <v>6081.85</v>
      </c>
    </row>
    <row r="471" spans="1:5">
      <c r="A471" s="257" t="s">
        <v>1256</v>
      </c>
      <c r="B471" s="421" t="s">
        <v>1257</v>
      </c>
      <c r="C471" s="422">
        <v>6081.85</v>
      </c>
      <c r="D471" s="422">
        <v>0</v>
      </c>
      <c r="E471" s="422">
        <v>6081.85</v>
      </c>
    </row>
    <row r="472" spans="1:5">
      <c r="A472" s="257" t="s">
        <v>1258</v>
      </c>
      <c r="B472" s="421" t="s">
        <v>1257</v>
      </c>
      <c r="C472" s="422">
        <v>6081.85</v>
      </c>
      <c r="D472" s="422">
        <v>0</v>
      </c>
      <c r="E472" s="422">
        <v>6081.85</v>
      </c>
    </row>
    <row r="473" spans="1:5">
      <c r="A473" s="257" t="s">
        <v>1259</v>
      </c>
      <c r="B473" s="421" t="s">
        <v>1260</v>
      </c>
      <c r="C473" s="422">
        <v>6081.85</v>
      </c>
      <c r="D473" s="422">
        <v>0</v>
      </c>
      <c r="E473" s="422">
        <v>6081.85</v>
      </c>
    </row>
    <row r="474" spans="1:5">
      <c r="A474" s="257" t="s">
        <v>1261</v>
      </c>
      <c r="B474" s="421" t="s">
        <v>1262</v>
      </c>
      <c r="C474" s="422">
        <v>6081.85</v>
      </c>
      <c r="D474" s="422">
        <v>0</v>
      </c>
      <c r="E474" s="422">
        <v>6081.85</v>
      </c>
    </row>
    <row r="475" spans="1:5">
      <c r="A475" s="309"/>
      <c r="B475" s="309"/>
      <c r="C475" s="309"/>
      <c r="D475" s="309"/>
      <c r="E475" s="309"/>
    </row>
    <row r="476" spans="1:5">
      <c r="A476" s="442" t="s">
        <v>1263</v>
      </c>
      <c r="B476" s="442"/>
      <c r="C476" s="423">
        <v>182716206.13999999</v>
      </c>
      <c r="D476" s="423">
        <v>0</v>
      </c>
      <c r="E476" s="423">
        <v>182716206.13999999</v>
      </c>
    </row>
    <row r="477" spans="1:5">
      <c r="A477" s="309"/>
      <c r="B477" s="309"/>
      <c r="C477" s="309"/>
      <c r="D477" s="309"/>
      <c r="E477" s="309"/>
    </row>
    <row r="478" spans="1:5">
      <c r="A478" s="442" t="s">
        <v>1264</v>
      </c>
      <c r="B478" s="442"/>
      <c r="C478" s="309"/>
      <c r="D478" s="309"/>
      <c r="E478" s="309"/>
    </row>
    <row r="479" spans="1:5">
      <c r="A479" s="309"/>
      <c r="B479" s="309"/>
      <c r="C479" s="309"/>
      <c r="D479" s="309"/>
      <c r="E479" s="309"/>
    </row>
    <row r="480" spans="1:5">
      <c r="A480" s="442" t="s">
        <v>1265</v>
      </c>
      <c r="B480" s="442"/>
      <c r="C480" s="309"/>
      <c r="D480" s="309"/>
      <c r="E480" s="309"/>
    </row>
    <row r="481" spans="1:5">
      <c r="A481" s="257" t="s">
        <v>543</v>
      </c>
      <c r="B481" s="421" t="s">
        <v>320</v>
      </c>
      <c r="C481" s="422">
        <v>14439208.710000001</v>
      </c>
      <c r="D481" s="422">
        <v>0</v>
      </c>
      <c r="E481" s="422">
        <v>14439208.710000001</v>
      </c>
    </row>
    <row r="482" spans="1:5">
      <c r="A482" s="257" t="s">
        <v>862</v>
      </c>
      <c r="B482" s="421" t="s">
        <v>863</v>
      </c>
      <c r="C482" s="422">
        <v>14439208.710000001</v>
      </c>
      <c r="D482" s="422">
        <v>0</v>
      </c>
      <c r="E482" s="422">
        <v>14439208.710000001</v>
      </c>
    </row>
    <row r="483" spans="1:5">
      <c r="A483" s="257" t="s">
        <v>864</v>
      </c>
      <c r="B483" s="421" t="s">
        <v>865</v>
      </c>
      <c r="C483" s="422">
        <v>5897044.1799999997</v>
      </c>
      <c r="D483" s="422">
        <v>0</v>
      </c>
      <c r="E483" s="422">
        <v>5897044.1799999997</v>
      </c>
    </row>
    <row r="484" spans="1:5">
      <c r="A484" s="257" t="s">
        <v>866</v>
      </c>
      <c r="B484" s="421" t="s">
        <v>867</v>
      </c>
      <c r="C484" s="422">
        <v>5897044.1799999997</v>
      </c>
      <c r="D484" s="422">
        <v>0</v>
      </c>
      <c r="E484" s="422">
        <v>5897044.1799999997</v>
      </c>
    </row>
    <row r="485" spans="1:5">
      <c r="A485" s="257" t="s">
        <v>868</v>
      </c>
      <c r="B485" s="421" t="s">
        <v>869</v>
      </c>
      <c r="C485" s="422">
        <v>5897044.1799999997</v>
      </c>
      <c r="D485" s="422">
        <v>0</v>
      </c>
      <c r="E485" s="422">
        <v>5897044.1799999997</v>
      </c>
    </row>
    <row r="486" spans="1:5">
      <c r="A486" s="257" t="s">
        <v>870</v>
      </c>
      <c r="B486" s="421" t="s">
        <v>871</v>
      </c>
      <c r="C486" s="422">
        <v>5659104.3300000001</v>
      </c>
      <c r="D486" s="422">
        <v>0</v>
      </c>
      <c r="E486" s="422">
        <v>5659104.3300000001</v>
      </c>
    </row>
    <row r="487" spans="1:5">
      <c r="A487" s="257" t="s">
        <v>872</v>
      </c>
      <c r="B487" s="421" t="s">
        <v>873</v>
      </c>
      <c r="C487" s="422">
        <v>5659104.3300000001</v>
      </c>
      <c r="D487" s="422">
        <v>0</v>
      </c>
      <c r="E487" s="422">
        <v>5659104.3300000001</v>
      </c>
    </row>
    <row r="488" spans="1:5">
      <c r="A488" s="257" t="s">
        <v>880</v>
      </c>
      <c r="B488" s="421" t="s">
        <v>343</v>
      </c>
      <c r="C488" s="422">
        <v>5659104.3300000001</v>
      </c>
      <c r="D488" s="422">
        <v>0</v>
      </c>
      <c r="E488" s="422">
        <v>5659104.3300000001</v>
      </c>
    </row>
    <row r="490" spans="1:5">
      <c r="A490" s="434" t="s">
        <v>537</v>
      </c>
      <c r="B490" s="434"/>
      <c r="C490" s="434"/>
      <c r="D490" s="434"/>
      <c r="E490" s="434"/>
    </row>
    <row r="491" spans="1:5">
      <c r="A491" s="434" t="s">
        <v>318</v>
      </c>
      <c r="B491" s="434"/>
      <c r="C491" s="434"/>
      <c r="D491" s="434"/>
      <c r="E491" s="434"/>
    </row>
    <row r="492" spans="1:5">
      <c r="A492" s="436" t="s">
        <v>145</v>
      </c>
      <c r="B492" s="436"/>
      <c r="C492" s="438" t="s">
        <v>538</v>
      </c>
      <c r="D492" s="438"/>
      <c r="E492" s="438"/>
    </row>
    <row r="493" spans="1:5">
      <c r="A493" s="437"/>
      <c r="B493" s="437"/>
      <c r="C493" s="439" t="s">
        <v>539</v>
      </c>
      <c r="D493" s="439"/>
      <c r="E493" s="440" t="s">
        <v>540</v>
      </c>
    </row>
    <row r="494" spans="1:5">
      <c r="A494" s="436"/>
      <c r="B494" s="436"/>
      <c r="C494" s="420" t="s">
        <v>541</v>
      </c>
      <c r="D494" s="420" t="s">
        <v>542</v>
      </c>
      <c r="E494" s="441"/>
    </row>
    <row r="495" spans="1:5">
      <c r="A495" s="257" t="s">
        <v>901</v>
      </c>
      <c r="B495" s="421" t="s">
        <v>902</v>
      </c>
      <c r="C495" s="422">
        <v>237939.85</v>
      </c>
      <c r="D495" s="422">
        <v>0</v>
      </c>
      <c r="E495" s="422">
        <v>237939.85</v>
      </c>
    </row>
    <row r="496" spans="1:5">
      <c r="A496" s="257" t="s">
        <v>903</v>
      </c>
      <c r="B496" s="421" t="s">
        <v>904</v>
      </c>
      <c r="C496" s="422">
        <v>237939.85</v>
      </c>
      <c r="D496" s="422">
        <v>0</v>
      </c>
      <c r="E496" s="422">
        <v>237939.85</v>
      </c>
    </row>
    <row r="497" spans="1:5">
      <c r="A497" s="257" t="s">
        <v>911</v>
      </c>
      <c r="B497" s="421" t="s">
        <v>345</v>
      </c>
      <c r="C497" s="422">
        <v>237939.85</v>
      </c>
      <c r="D497" s="422">
        <v>0</v>
      </c>
      <c r="E497" s="422">
        <v>237939.85</v>
      </c>
    </row>
    <row r="498" spans="1:5">
      <c r="A498" s="257" t="s">
        <v>1023</v>
      </c>
      <c r="B498" s="421" t="s">
        <v>1024</v>
      </c>
      <c r="C498" s="422">
        <v>8542164.5299999993</v>
      </c>
      <c r="D498" s="422">
        <v>0</v>
      </c>
      <c r="E498" s="422">
        <v>8542164.5299999993</v>
      </c>
    </row>
    <row r="499" spans="1:5">
      <c r="A499" s="257" t="s">
        <v>1025</v>
      </c>
      <c r="B499" s="421" t="s">
        <v>1026</v>
      </c>
      <c r="C499" s="422">
        <v>8542164.5299999993</v>
      </c>
      <c r="D499" s="422">
        <v>0</v>
      </c>
      <c r="E499" s="422">
        <v>8542164.5299999993</v>
      </c>
    </row>
    <row r="500" spans="1:5">
      <c r="A500" s="257" t="s">
        <v>1027</v>
      </c>
      <c r="B500" s="421" t="s">
        <v>1028</v>
      </c>
      <c r="C500" s="422">
        <v>8542164.5299999993</v>
      </c>
      <c r="D500" s="422">
        <v>0</v>
      </c>
      <c r="E500" s="422">
        <v>8542164.5299999993</v>
      </c>
    </row>
    <row r="501" spans="1:5">
      <c r="A501" s="257" t="s">
        <v>1029</v>
      </c>
      <c r="B501" s="421" t="s">
        <v>1030</v>
      </c>
      <c r="C501" s="422">
        <v>7649359.2699999996</v>
      </c>
      <c r="D501" s="422">
        <v>0</v>
      </c>
      <c r="E501" s="422">
        <v>7649359.2699999996</v>
      </c>
    </row>
    <row r="502" spans="1:5">
      <c r="A502" s="257" t="s">
        <v>1031</v>
      </c>
      <c r="B502" s="421" t="s">
        <v>1032</v>
      </c>
      <c r="C502" s="422">
        <v>7649359.2699999996</v>
      </c>
      <c r="D502" s="422">
        <v>0</v>
      </c>
      <c r="E502" s="422">
        <v>7649359.2699999996</v>
      </c>
    </row>
    <row r="503" spans="1:5">
      <c r="A503" s="257" t="s">
        <v>1039</v>
      </c>
      <c r="B503" s="421" t="s">
        <v>347</v>
      </c>
      <c r="C503" s="422">
        <v>7649359.2699999996</v>
      </c>
      <c r="D503" s="422">
        <v>0</v>
      </c>
      <c r="E503" s="422">
        <v>7649359.2699999996</v>
      </c>
    </row>
    <row r="504" spans="1:5">
      <c r="A504" s="257" t="s">
        <v>1040</v>
      </c>
      <c r="B504" s="421" t="s">
        <v>1041</v>
      </c>
      <c r="C504" s="422">
        <v>780568.77</v>
      </c>
      <c r="D504" s="422">
        <v>0</v>
      </c>
      <c r="E504" s="422">
        <v>780568.77</v>
      </c>
    </row>
    <row r="505" spans="1:5">
      <c r="A505" s="257" t="s">
        <v>1042</v>
      </c>
      <c r="B505" s="421" t="s">
        <v>1043</v>
      </c>
      <c r="C505" s="422">
        <v>780568.77</v>
      </c>
      <c r="D505" s="422">
        <v>0</v>
      </c>
      <c r="E505" s="422">
        <v>780568.77</v>
      </c>
    </row>
    <row r="506" spans="1:5">
      <c r="A506" s="257" t="s">
        <v>1050</v>
      </c>
      <c r="B506" s="421" t="s">
        <v>349</v>
      </c>
      <c r="C506" s="422">
        <v>780568.77</v>
      </c>
      <c r="D506" s="422">
        <v>0</v>
      </c>
      <c r="E506" s="422">
        <v>780568.77</v>
      </c>
    </row>
    <row r="507" spans="1:5">
      <c r="A507" s="257" t="s">
        <v>1051</v>
      </c>
      <c r="B507" s="421" t="s">
        <v>1052</v>
      </c>
      <c r="C507" s="422">
        <v>112236.49</v>
      </c>
      <c r="D507" s="422">
        <v>0</v>
      </c>
      <c r="E507" s="422">
        <v>112236.49</v>
      </c>
    </row>
    <row r="508" spans="1:5">
      <c r="A508" s="257" t="s">
        <v>1053</v>
      </c>
      <c r="B508" s="421" t="s">
        <v>1054</v>
      </c>
      <c r="C508" s="422">
        <v>112236.49</v>
      </c>
      <c r="D508" s="422">
        <v>0</v>
      </c>
      <c r="E508" s="422">
        <v>112236.49</v>
      </c>
    </row>
    <row r="509" spans="1:5">
      <c r="A509" s="257" t="s">
        <v>1061</v>
      </c>
      <c r="B509" s="421" t="s">
        <v>351</v>
      </c>
      <c r="C509" s="422">
        <v>112236.49</v>
      </c>
      <c r="D509" s="422">
        <v>0</v>
      </c>
      <c r="E509" s="422">
        <v>112236.49</v>
      </c>
    </row>
    <row r="510" spans="1:5">
      <c r="A510" s="442" t="s">
        <v>321</v>
      </c>
      <c r="B510" s="442"/>
      <c r="C510" s="423">
        <v>14439208.710000001</v>
      </c>
      <c r="D510" s="423">
        <v>0</v>
      </c>
      <c r="E510" s="423">
        <v>14439208.710000001</v>
      </c>
    </row>
    <row r="511" spans="1:5">
      <c r="A511" s="442" t="s">
        <v>1266</v>
      </c>
      <c r="B511" s="442"/>
      <c r="C511" s="423">
        <v>168276997.43000001</v>
      </c>
      <c r="D511" s="423">
        <v>0</v>
      </c>
      <c r="E511" s="443">
        <v>168276997.43000001</v>
      </c>
    </row>
    <row r="512" spans="1:5">
      <c r="A512" s="442" t="s">
        <v>1267</v>
      </c>
      <c r="B512" s="442"/>
      <c r="C512" s="444">
        <v>168276997.43000001</v>
      </c>
      <c r="D512" s="444"/>
      <c r="E512" s="443"/>
    </row>
    <row r="513" spans="1:1">
      <c r="A513" s="152" t="s">
        <v>1269</v>
      </c>
    </row>
    <row r="517" spans="1:1">
      <c r="A517" s="243" t="s">
        <v>25</v>
      </c>
    </row>
    <row r="518" spans="1:1">
      <c r="A518" s="243" t="s">
        <v>24</v>
      </c>
    </row>
  </sheetData>
  <mergeCells count="72">
    <mergeCell ref="A511:B511"/>
    <mergeCell ref="E511:E512"/>
    <mergeCell ref="A512:B512"/>
    <mergeCell ref="C512:D512"/>
    <mergeCell ref="A491:E491"/>
    <mergeCell ref="A492:B494"/>
    <mergeCell ref="C492:E492"/>
    <mergeCell ref="C493:D493"/>
    <mergeCell ref="E493:E494"/>
    <mergeCell ref="A510:B510"/>
    <mergeCell ref="A490:E490"/>
    <mergeCell ref="A428:E428"/>
    <mergeCell ref="A429:E429"/>
    <mergeCell ref="A430:B432"/>
    <mergeCell ref="C430:E430"/>
    <mergeCell ref="C431:D431"/>
    <mergeCell ref="E431:E432"/>
    <mergeCell ref="A433:B433"/>
    <mergeCell ref="A461:B461"/>
    <mergeCell ref="A476:B476"/>
    <mergeCell ref="A478:B478"/>
    <mergeCell ref="A480:B480"/>
    <mergeCell ref="A368:E368"/>
    <mergeCell ref="A369:E369"/>
    <mergeCell ref="A370:B372"/>
    <mergeCell ref="C370:E370"/>
    <mergeCell ref="C371:D371"/>
    <mergeCell ref="E371:E372"/>
    <mergeCell ref="A308:E308"/>
    <mergeCell ref="A309:E309"/>
    <mergeCell ref="A310:B312"/>
    <mergeCell ref="C310:E310"/>
    <mergeCell ref="C311:D311"/>
    <mergeCell ref="E311:E312"/>
    <mergeCell ref="A248:E248"/>
    <mergeCell ref="A249:E249"/>
    <mergeCell ref="A250:B252"/>
    <mergeCell ref="C250:E250"/>
    <mergeCell ref="C251:D251"/>
    <mergeCell ref="E251:E252"/>
    <mergeCell ref="A188:E188"/>
    <mergeCell ref="A189:E189"/>
    <mergeCell ref="A190:B192"/>
    <mergeCell ref="C190:E190"/>
    <mergeCell ref="C191:D191"/>
    <mergeCell ref="E191:E192"/>
    <mergeCell ref="A128:E128"/>
    <mergeCell ref="A129:E129"/>
    <mergeCell ref="A130:B132"/>
    <mergeCell ref="C130:E130"/>
    <mergeCell ref="C131:D131"/>
    <mergeCell ref="E131:E132"/>
    <mergeCell ref="A14:B14"/>
    <mergeCell ref="A68:E68"/>
    <mergeCell ref="A69:E69"/>
    <mergeCell ref="A70:B72"/>
    <mergeCell ref="C70:E70"/>
    <mergeCell ref="C71:D71"/>
    <mergeCell ref="E71:E72"/>
    <mergeCell ref="A7:E7"/>
    <mergeCell ref="A9:E9"/>
    <mergeCell ref="A10:E10"/>
    <mergeCell ref="A11:B13"/>
    <mergeCell ref="C11:E11"/>
    <mergeCell ref="C12:D12"/>
    <mergeCell ref="E12:E13"/>
    <mergeCell ref="A6:E6"/>
    <mergeCell ref="A1:E1"/>
    <mergeCell ref="A2:E2"/>
    <mergeCell ref="A3:E3"/>
    <mergeCell ref="A4:E4"/>
    <mergeCell ref="A5:E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5"/>
  <sheetViews>
    <sheetView workbookViewId="0">
      <selection activeCell="B24" sqref="B24:B25"/>
    </sheetView>
  </sheetViews>
  <sheetFormatPr defaultRowHeight="21"/>
  <cols>
    <col min="1" max="1" width="4.85546875" style="206" customWidth="1"/>
    <col min="2" max="2" width="69.140625" style="206" customWidth="1"/>
    <col min="3" max="3" width="20.7109375" style="206" customWidth="1"/>
    <col min="4" max="4" width="20.5703125" style="206" bestFit="1" customWidth="1"/>
    <col min="5" max="5" width="19.7109375" style="206" customWidth="1"/>
    <col min="6" max="16384" width="9.140625" style="206"/>
  </cols>
  <sheetData>
    <row r="2" spans="2:5">
      <c r="B2" s="210" t="s">
        <v>143</v>
      </c>
    </row>
    <row r="3" spans="2:5">
      <c r="B3" s="211" t="s">
        <v>162</v>
      </c>
    </row>
    <row r="4" spans="2:5">
      <c r="B4" s="212" t="s">
        <v>303</v>
      </c>
    </row>
    <row r="5" spans="2:5">
      <c r="B5" s="211" t="s">
        <v>141</v>
      </c>
    </row>
    <row r="6" spans="2:5">
      <c r="B6" s="211" t="s">
        <v>142</v>
      </c>
    </row>
    <row r="8" spans="2:5" s="205" customFormat="1">
      <c r="B8" s="207" t="s">
        <v>144</v>
      </c>
      <c r="C8" s="208" t="s">
        <v>9</v>
      </c>
      <c r="D8" s="207" t="s">
        <v>146</v>
      </c>
      <c r="E8" s="208" t="s">
        <v>9</v>
      </c>
    </row>
    <row r="9" spans="2:5">
      <c r="B9" s="209" t="s">
        <v>145</v>
      </c>
      <c r="C9" s="209"/>
      <c r="D9" s="209" t="s">
        <v>145</v>
      </c>
      <c r="E9" s="209"/>
    </row>
    <row r="10" spans="2:5">
      <c r="B10" s="209"/>
      <c r="C10" s="209"/>
      <c r="D10" s="209"/>
      <c r="E10" s="209"/>
    </row>
    <row r="11" spans="2:5">
      <c r="B11" s="209" t="s">
        <v>152</v>
      </c>
      <c r="C11" s="217"/>
      <c r="D11" s="209" t="s">
        <v>147</v>
      </c>
      <c r="E11" s="209"/>
    </row>
    <row r="12" spans="2:5">
      <c r="B12" s="209" t="s">
        <v>153</v>
      </c>
      <c r="C12" s="209"/>
      <c r="D12" s="209"/>
      <c r="E12" s="209"/>
    </row>
    <row r="13" spans="2:5">
      <c r="B13" s="209" t="s">
        <v>306</v>
      </c>
      <c r="C13" s="217"/>
      <c r="D13" s="209" t="s">
        <v>148</v>
      </c>
      <c r="E13" s="209"/>
    </row>
    <row r="14" spans="2:5">
      <c r="B14" s="209" t="s">
        <v>307</v>
      </c>
      <c r="C14" s="209"/>
      <c r="D14" s="209" t="s">
        <v>150</v>
      </c>
      <c r="E14" s="217">
        <v>5000000</v>
      </c>
    </row>
    <row r="15" spans="2:5">
      <c r="B15" s="209" t="s">
        <v>309</v>
      </c>
      <c r="C15" s="209"/>
      <c r="D15" s="209"/>
      <c r="E15" s="209"/>
    </row>
    <row r="16" spans="2:5">
      <c r="B16" s="209" t="s">
        <v>308</v>
      </c>
      <c r="C16" s="209"/>
      <c r="D16" s="209"/>
      <c r="E16" s="209"/>
    </row>
    <row r="17" spans="2:6">
      <c r="B17" s="209"/>
      <c r="C17" s="209"/>
      <c r="D17" s="209"/>
      <c r="E17" s="209"/>
    </row>
    <row r="18" spans="2:6">
      <c r="B18" s="209"/>
      <c r="C18" s="209"/>
      <c r="D18" s="209"/>
      <c r="E18" s="209"/>
    </row>
    <row r="19" spans="2:6">
      <c r="B19" s="209" t="s">
        <v>151</v>
      </c>
      <c r="C19" s="217">
        <v>5000000</v>
      </c>
      <c r="D19" s="209"/>
      <c r="E19" s="209"/>
    </row>
    <row r="20" spans="2:6" s="205" customFormat="1">
      <c r="B20" s="207" t="s">
        <v>149</v>
      </c>
      <c r="C20" s="218">
        <f>SUM(C13:C19)</f>
        <v>5000000</v>
      </c>
      <c r="D20" s="207" t="s">
        <v>149</v>
      </c>
      <c r="E20" s="218">
        <f>SUM(E13:E19)</f>
        <v>5000000</v>
      </c>
    </row>
    <row r="22" spans="2:6" s="213" customFormat="1" ht="15.75"/>
    <row r="23" spans="2:6" s="213" customFormat="1" ht="15.75"/>
    <row r="24" spans="2:6" s="152" customFormat="1" ht="11.25">
      <c r="B24" s="194" t="s">
        <v>25</v>
      </c>
      <c r="C24" s="194"/>
      <c r="D24" s="194"/>
      <c r="E24" s="194"/>
      <c r="F24" s="194"/>
    </row>
    <row r="25" spans="2:6" s="152" customFormat="1" ht="11.25">
      <c r="B25" s="194" t="s">
        <v>24</v>
      </c>
      <c r="C25" s="194"/>
      <c r="D25" s="194"/>
      <c r="E25" s="194"/>
      <c r="F25" s="194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topLeftCell="A22" workbookViewId="0">
      <selection activeCell="B40" sqref="B40"/>
    </sheetView>
  </sheetViews>
  <sheetFormatPr defaultRowHeight="15"/>
  <cols>
    <col min="1" max="1" width="15.7109375" bestFit="1" customWidth="1"/>
    <col min="2" max="2" width="41.42578125" bestFit="1" customWidth="1"/>
    <col min="3" max="3" width="15" bestFit="1" customWidth="1"/>
    <col min="5" max="5" width="12.85546875" bestFit="1" customWidth="1"/>
    <col min="7" max="7" width="14" bestFit="1" customWidth="1"/>
  </cols>
  <sheetData>
    <row r="1" spans="1:7">
      <c r="A1" s="244" t="s">
        <v>310</v>
      </c>
      <c r="B1" s="244"/>
      <c r="C1" s="244"/>
      <c r="D1" s="244"/>
      <c r="E1" s="244"/>
      <c r="F1" s="244"/>
      <c r="G1" s="244"/>
    </row>
    <row r="2" spans="1:7">
      <c r="A2" s="244" t="s">
        <v>311</v>
      </c>
      <c r="B2" s="244"/>
      <c r="C2" s="263" t="s">
        <v>312</v>
      </c>
      <c r="D2" s="244"/>
      <c r="E2" s="244"/>
      <c r="F2" s="244"/>
      <c r="G2" s="244"/>
    </row>
    <row r="3" spans="1:7">
      <c r="A3" s="245" t="s">
        <v>358</v>
      </c>
      <c r="B3" s="245"/>
      <c r="C3" s="245"/>
      <c r="D3" s="245"/>
      <c r="E3" s="245"/>
      <c r="F3" s="245"/>
      <c r="G3" s="245"/>
    </row>
    <row r="4" spans="1:7">
      <c r="A4" s="245" t="s">
        <v>313</v>
      </c>
      <c r="B4" s="245"/>
      <c r="C4" s="245"/>
      <c r="D4" s="245"/>
      <c r="E4" s="245"/>
      <c r="F4" s="245"/>
      <c r="G4" s="245"/>
    </row>
    <row r="5" spans="1:7">
      <c r="A5" s="244" t="s">
        <v>314</v>
      </c>
      <c r="B5" s="244"/>
      <c r="C5" s="244"/>
      <c r="D5" s="244"/>
      <c r="E5" s="244"/>
      <c r="F5" s="244"/>
      <c r="G5" s="244"/>
    </row>
    <row r="6" spans="1:7">
      <c r="A6" s="246"/>
      <c r="B6" s="246"/>
      <c r="C6" s="246"/>
      <c r="D6" s="246"/>
      <c r="E6" s="246"/>
      <c r="F6" s="246"/>
      <c r="G6" s="246"/>
    </row>
    <row r="7" spans="1:7" ht="18.75">
      <c r="A7" s="247" t="s">
        <v>315</v>
      </c>
      <c r="B7" s="247"/>
      <c r="C7" s="248" t="s">
        <v>316</v>
      </c>
      <c r="D7" s="249"/>
      <c r="E7" s="249"/>
      <c r="F7" s="249"/>
      <c r="G7" s="247"/>
    </row>
    <row r="8" spans="1:7" s="152" customFormat="1" ht="11.25">
      <c r="D8" s="249"/>
      <c r="E8" s="249"/>
      <c r="F8" s="249"/>
    </row>
    <row r="9" spans="1:7">
      <c r="A9" s="250" t="s">
        <v>317</v>
      </c>
      <c r="B9" s="250"/>
      <c r="D9" s="264" t="s">
        <v>359</v>
      </c>
      <c r="E9" s="249"/>
      <c r="F9" s="249"/>
    </row>
    <row r="10" spans="1:7">
      <c r="A10" s="245" t="s">
        <v>318</v>
      </c>
      <c r="B10" s="245"/>
      <c r="C10" s="245"/>
      <c r="D10" s="249"/>
      <c r="E10" s="249"/>
      <c r="F10" s="249"/>
    </row>
    <row r="11" spans="1:7" ht="15.75">
      <c r="A11" s="251" t="s">
        <v>360</v>
      </c>
      <c r="C11" s="252">
        <v>2022</v>
      </c>
      <c r="D11" s="249"/>
      <c r="E11" s="249"/>
      <c r="F11" s="249"/>
    </row>
    <row r="12" spans="1:7">
      <c r="A12" s="253" t="s">
        <v>319</v>
      </c>
      <c r="B12" s="254" t="s">
        <v>320</v>
      </c>
      <c r="C12" s="255">
        <v>145978293.25999999</v>
      </c>
    </row>
    <row r="14" spans="1:7" s="251" customFormat="1">
      <c r="B14" s="251" t="s">
        <v>321</v>
      </c>
      <c r="C14" s="256">
        <f>SUM(C15:C29)</f>
        <v>28382465.760000002</v>
      </c>
    </row>
    <row r="15" spans="1:7">
      <c r="A15" s="253" t="s">
        <v>322</v>
      </c>
      <c r="B15" s="254" t="s">
        <v>323</v>
      </c>
      <c r="C15" s="255">
        <v>3989813.88</v>
      </c>
    </row>
    <row r="16" spans="1:7">
      <c r="A16" s="253" t="s">
        <v>324</v>
      </c>
      <c r="B16" s="254" t="s">
        <v>325</v>
      </c>
      <c r="C16" s="255">
        <v>1218037.33</v>
      </c>
    </row>
    <row r="17" spans="1:3">
      <c r="A17" s="253" t="s">
        <v>326</v>
      </c>
      <c r="B17" s="254" t="s">
        <v>327</v>
      </c>
      <c r="C17" s="255">
        <v>74413.72</v>
      </c>
    </row>
    <row r="18" spans="1:3">
      <c r="A18" s="253" t="s">
        <v>328</v>
      </c>
      <c r="B18" s="254" t="s">
        <v>329</v>
      </c>
      <c r="C18" s="255">
        <v>15641.64</v>
      </c>
    </row>
    <row r="19" spans="1:3">
      <c r="A19" s="253" t="s">
        <v>330</v>
      </c>
      <c r="B19" s="254" t="s">
        <v>331</v>
      </c>
      <c r="C19" s="255">
        <v>1000276.62</v>
      </c>
    </row>
    <row r="20" spans="1:3">
      <c r="A20" s="253" t="s">
        <v>332</v>
      </c>
      <c r="B20" s="254" t="s">
        <v>333</v>
      </c>
      <c r="C20" s="255">
        <v>676141.81</v>
      </c>
    </row>
    <row r="21" spans="1:3">
      <c r="A21" s="257" t="s">
        <v>334</v>
      </c>
      <c r="B21" s="254" t="s">
        <v>335</v>
      </c>
      <c r="C21" s="255">
        <v>147246.10999999999</v>
      </c>
    </row>
    <row r="22" spans="1:3">
      <c r="A22" s="253" t="s">
        <v>336</v>
      </c>
      <c r="B22" s="254" t="s">
        <v>337</v>
      </c>
      <c r="C22" s="255">
        <v>4862926.13</v>
      </c>
    </row>
    <row r="23" spans="1:3">
      <c r="A23" s="253" t="s">
        <v>338</v>
      </c>
      <c r="B23" s="254" t="s">
        <v>339</v>
      </c>
      <c r="C23" s="255">
        <v>1259763.58</v>
      </c>
    </row>
    <row r="24" spans="1:3">
      <c r="A24" s="253" t="s">
        <v>340</v>
      </c>
      <c r="B24" s="254" t="s">
        <v>341</v>
      </c>
      <c r="C24" s="255">
        <v>698996.23</v>
      </c>
    </row>
    <row r="25" spans="1:3">
      <c r="A25" s="253" t="s">
        <v>342</v>
      </c>
      <c r="B25" s="254" t="s">
        <v>343</v>
      </c>
      <c r="C25" s="255">
        <v>5659104.3300000001</v>
      </c>
    </row>
    <row r="26" spans="1:3">
      <c r="A26" s="253" t="s">
        <v>344</v>
      </c>
      <c r="B26" s="254" t="s">
        <v>345</v>
      </c>
      <c r="C26" s="255">
        <v>237939.85</v>
      </c>
    </row>
    <row r="27" spans="1:3">
      <c r="A27" s="253" t="s">
        <v>346</v>
      </c>
      <c r="B27" s="254" t="s">
        <v>347</v>
      </c>
      <c r="C27" s="255">
        <v>7649359.2699999996</v>
      </c>
    </row>
    <row r="28" spans="1:3">
      <c r="A28" s="253" t="s">
        <v>348</v>
      </c>
      <c r="B28" s="254" t="s">
        <v>349</v>
      </c>
      <c r="C28" s="255">
        <v>780568.77</v>
      </c>
    </row>
    <row r="29" spans="1:3">
      <c r="A29" s="253" t="s">
        <v>350</v>
      </c>
      <c r="B29" s="254" t="s">
        <v>351</v>
      </c>
      <c r="C29" s="255">
        <v>112236.49</v>
      </c>
    </row>
    <row r="31" spans="1:3">
      <c r="A31" s="258"/>
      <c r="B31" s="259" t="s">
        <v>352</v>
      </c>
      <c r="C31" s="260">
        <f>C12-C14</f>
        <v>117595827.49999999</v>
      </c>
    </row>
    <row r="32" spans="1:3">
      <c r="A32" s="261" t="s">
        <v>353</v>
      </c>
    </row>
    <row r="35" spans="1:4">
      <c r="A35" t="s">
        <v>362</v>
      </c>
    </row>
    <row r="36" spans="1:4">
      <c r="A36" t="s">
        <v>361</v>
      </c>
    </row>
    <row r="37" spans="1:4">
      <c r="A37" s="253" t="s">
        <v>354</v>
      </c>
      <c r="B37" s="254" t="s">
        <v>355</v>
      </c>
      <c r="C37" s="255">
        <v>3158978.58</v>
      </c>
    </row>
    <row r="38" spans="1:4">
      <c r="A38" s="253" t="s">
        <v>356</v>
      </c>
      <c r="B38" s="254" t="s">
        <v>357</v>
      </c>
      <c r="C38" s="255">
        <v>169713.35</v>
      </c>
    </row>
    <row r="40" spans="1:4">
      <c r="C40" s="262"/>
    </row>
    <row r="41" spans="1:4">
      <c r="A41" s="265"/>
      <c r="B41" s="266" t="s">
        <v>363</v>
      </c>
      <c r="C41" s="267">
        <v>1417690.65</v>
      </c>
      <c r="D41" s="268">
        <f>C41/C31</f>
        <v>1.2055620340781224E-2</v>
      </c>
    </row>
    <row r="42" spans="1:4">
      <c r="C42" s="17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topLeftCell="A6" workbookViewId="0">
      <selection activeCell="A53" sqref="A53"/>
    </sheetView>
  </sheetViews>
  <sheetFormatPr defaultRowHeight="11.25"/>
  <cols>
    <col min="1" max="1" width="11.7109375" style="152" customWidth="1"/>
    <col min="2" max="2" width="26.140625" style="152" customWidth="1"/>
    <col min="3" max="3" width="12.28515625" style="152" customWidth="1"/>
    <col min="4" max="4" width="11.85546875" style="152" customWidth="1"/>
    <col min="5" max="6" width="11.7109375" style="152" customWidth="1"/>
    <col min="7" max="7" width="12.85546875" style="152" bestFit="1" customWidth="1"/>
    <col min="8" max="8" width="9.140625" style="152"/>
    <col min="9" max="9" width="12.5703125" style="152" bestFit="1" customWidth="1"/>
    <col min="10" max="16384" width="9.140625" style="152"/>
  </cols>
  <sheetData>
    <row r="1" spans="1:10">
      <c r="A1" s="269"/>
      <c r="B1" s="152" t="s">
        <v>418</v>
      </c>
    </row>
    <row r="2" spans="1:10" ht="12.75">
      <c r="B2" s="270" t="s">
        <v>364</v>
      </c>
      <c r="C2" s="271" t="s">
        <v>419</v>
      </c>
      <c r="D2" s="272"/>
    </row>
    <row r="3" spans="1:10">
      <c r="B3" s="40"/>
      <c r="C3" s="40"/>
      <c r="D3" s="40"/>
    </row>
    <row r="4" spans="1:10">
      <c r="A4" s="273" t="s">
        <v>365</v>
      </c>
    </row>
    <row r="5" spans="1:10">
      <c r="A5" s="274"/>
      <c r="B5" s="275" t="s">
        <v>366</v>
      </c>
      <c r="C5" s="276">
        <v>2022</v>
      </c>
    </row>
    <row r="6" spans="1:10">
      <c r="A6" s="277" t="s">
        <v>367</v>
      </c>
      <c r="B6" s="278" t="s">
        <v>368</v>
      </c>
      <c r="C6" s="279" t="s">
        <v>369</v>
      </c>
    </row>
    <row r="7" spans="1:10">
      <c r="A7" s="280" t="s">
        <v>370</v>
      </c>
      <c r="B7" s="30" t="s">
        <v>371</v>
      </c>
      <c r="C7" s="281">
        <f>[2]RecTotal!C16</f>
        <v>16164648</v>
      </c>
    </row>
    <row r="8" spans="1:10">
      <c r="A8" s="282" t="s">
        <v>372</v>
      </c>
      <c r="B8" s="30" t="s">
        <v>373</v>
      </c>
      <c r="C8" s="283">
        <f>[2]RecTotal!C192</f>
        <v>3989813.88</v>
      </c>
    </row>
    <row r="9" spans="1:10">
      <c r="A9" s="280" t="s">
        <v>374</v>
      </c>
      <c r="B9" s="30" t="s">
        <v>375</v>
      </c>
      <c r="C9" s="283"/>
    </row>
    <row r="10" spans="1:10">
      <c r="A10" s="280" t="s">
        <v>376</v>
      </c>
      <c r="B10" s="30" t="s">
        <v>377</v>
      </c>
      <c r="C10" s="283"/>
    </row>
    <row r="11" spans="1:10">
      <c r="A11" s="280" t="s">
        <v>378</v>
      </c>
      <c r="B11" s="30" t="s">
        <v>379</v>
      </c>
      <c r="C11" s="283"/>
    </row>
    <row r="12" spans="1:10">
      <c r="A12" s="282" t="s">
        <v>380</v>
      </c>
      <c r="B12" s="30" t="s">
        <v>381</v>
      </c>
      <c r="C12" s="283">
        <f>[2]RecTotal!C209</f>
        <v>1163888.42</v>
      </c>
    </row>
    <row r="13" spans="1:10">
      <c r="A13" s="282" t="s">
        <v>382</v>
      </c>
      <c r="B13" s="30" t="s">
        <v>383</v>
      </c>
      <c r="C13" s="283">
        <f>[2]RecTotal!C259</f>
        <v>28295521.66</v>
      </c>
      <c r="E13" s="193"/>
      <c r="G13" s="193"/>
      <c r="I13" s="193"/>
      <c r="J13" s="193"/>
    </row>
    <row r="14" spans="1:10">
      <c r="A14" s="280" t="s">
        <v>384</v>
      </c>
      <c r="B14" s="30" t="s">
        <v>385</v>
      </c>
      <c r="C14" s="284">
        <f>-[2]RecTotal!C523</f>
        <v>-5659104.3300000001</v>
      </c>
    </row>
    <row r="15" spans="1:10">
      <c r="A15" s="280" t="s">
        <v>386</v>
      </c>
      <c r="B15" s="30" t="s">
        <v>387</v>
      </c>
      <c r="C15" s="283">
        <f>[2]RecTotal!C275</f>
        <v>1189699.26</v>
      </c>
    </row>
    <row r="16" spans="1:10">
      <c r="A16" s="280" t="s">
        <v>388</v>
      </c>
      <c r="B16" s="30" t="s">
        <v>389</v>
      </c>
      <c r="C16" s="284">
        <f>-[2]RecTotal!C526</f>
        <v>-237939.85</v>
      </c>
    </row>
    <row r="17" spans="1:7">
      <c r="A17" s="280" t="s">
        <v>390</v>
      </c>
      <c r="B17" s="30" t="s">
        <v>391</v>
      </c>
      <c r="C17" s="283"/>
    </row>
    <row r="18" spans="1:7">
      <c r="A18" s="280" t="s">
        <v>392</v>
      </c>
      <c r="B18" s="30" t="s">
        <v>393</v>
      </c>
      <c r="C18" s="283"/>
    </row>
    <row r="19" spans="1:7">
      <c r="A19" s="280" t="s">
        <v>394</v>
      </c>
      <c r="B19" s="30" t="s">
        <v>395</v>
      </c>
      <c r="C19" s="283">
        <f>[2]RecTotal!C353</f>
        <v>38246796.359999999</v>
      </c>
    </row>
    <row r="20" spans="1:7">
      <c r="A20" s="280" t="s">
        <v>396</v>
      </c>
      <c r="B20" s="30" t="s">
        <v>393</v>
      </c>
      <c r="C20" s="284">
        <f>-[2]RecTotal!C532</f>
        <v>-7649359.2699999996</v>
      </c>
    </row>
    <row r="21" spans="1:7">
      <c r="A21" s="280" t="s">
        <v>397</v>
      </c>
      <c r="B21" s="30" t="s">
        <v>398</v>
      </c>
      <c r="C21" s="283">
        <f>[2]RecTotal!C365</f>
        <v>3902843.86</v>
      </c>
    </row>
    <row r="22" spans="1:7">
      <c r="A22" s="280" t="s">
        <v>399</v>
      </c>
      <c r="B22" s="30" t="s">
        <v>393</v>
      </c>
      <c r="C22" s="284">
        <f>-[2]RecTotal!C541</f>
        <v>-780568.77</v>
      </c>
    </row>
    <row r="23" spans="1:7">
      <c r="A23" s="280" t="s">
        <v>400</v>
      </c>
      <c r="B23" s="30" t="s">
        <v>401</v>
      </c>
      <c r="C23" s="283">
        <f>[2]RecTotal!C371</f>
        <v>561182.43000000005</v>
      </c>
    </row>
    <row r="24" spans="1:7">
      <c r="A24" s="280" t="s">
        <v>402</v>
      </c>
      <c r="B24" s="30" t="s">
        <v>393</v>
      </c>
      <c r="C24" s="284">
        <f>-[2]RecTotal!C544</f>
        <v>-112236.49</v>
      </c>
    </row>
    <row r="25" spans="1:7" s="287" customFormat="1">
      <c r="A25" s="285" t="s">
        <v>403</v>
      </c>
      <c r="B25" s="104" t="s">
        <v>404</v>
      </c>
      <c r="C25" s="286">
        <f>[2]RecTotal!C377</f>
        <v>133709.76000000001</v>
      </c>
      <c r="G25" s="152"/>
    </row>
    <row r="26" spans="1:7" s="287" customFormat="1">
      <c r="A26" s="288"/>
      <c r="B26" s="104"/>
      <c r="C26" s="286"/>
      <c r="G26" s="152"/>
    </row>
    <row r="27" spans="1:7" s="287" customFormat="1">
      <c r="A27" s="289"/>
      <c r="B27" s="104"/>
      <c r="C27" s="290"/>
      <c r="G27" s="152"/>
    </row>
    <row r="28" spans="1:7">
      <c r="A28" s="291"/>
      <c r="B28" s="292" t="s">
        <v>405</v>
      </c>
      <c r="C28" s="293">
        <f>SUM(C7:C27)</f>
        <v>79208894.920000017</v>
      </c>
    </row>
    <row r="29" spans="1:7">
      <c r="A29" s="40"/>
      <c r="B29" s="30"/>
      <c r="C29" s="30"/>
    </row>
    <row r="30" spans="1:7">
      <c r="A30" s="295" t="s">
        <v>406</v>
      </c>
      <c r="B30" s="294"/>
      <c r="C30" s="296"/>
      <c r="D30" s="296"/>
      <c r="E30" s="297"/>
      <c r="F30" s="298"/>
    </row>
    <row r="31" spans="1:7">
      <c r="A31" s="30"/>
    </row>
    <row r="32" spans="1:7" s="287" customFormat="1">
      <c r="C32" s="104"/>
      <c r="D32" s="104"/>
      <c r="E32" s="104"/>
      <c r="G32" s="152"/>
    </row>
    <row r="33" spans="1:8">
      <c r="B33" s="299" t="s">
        <v>407</v>
      </c>
      <c r="C33" s="30"/>
      <c r="D33" s="30"/>
      <c r="E33" s="30"/>
    </row>
    <row r="34" spans="1:8">
      <c r="B34" s="299" t="s">
        <v>408</v>
      </c>
      <c r="C34" s="30"/>
      <c r="D34" s="40"/>
      <c r="E34" s="40"/>
      <c r="F34" s="40"/>
      <c r="G34" s="40"/>
      <c r="H34" s="40"/>
    </row>
    <row r="35" spans="1:8" s="287" customFormat="1">
      <c r="B35" s="308" t="s">
        <v>420</v>
      </c>
      <c r="C35" s="300">
        <v>7.0000000000000007E-2</v>
      </c>
      <c r="D35" s="276">
        <v>2022</v>
      </c>
      <c r="E35" s="40"/>
      <c r="F35" s="40"/>
      <c r="G35" s="40"/>
      <c r="H35" s="40"/>
    </row>
    <row r="36" spans="1:8">
      <c r="B36" s="309" t="s">
        <v>421</v>
      </c>
      <c r="C36" s="276" t="s">
        <v>409</v>
      </c>
      <c r="D36" s="301">
        <f>C35*C28</f>
        <v>5544622.6444000015</v>
      </c>
      <c r="E36" s="40"/>
      <c r="F36" s="40"/>
      <c r="G36" s="40"/>
      <c r="H36" s="40"/>
    </row>
    <row r="37" spans="1:8">
      <c r="B37" s="299"/>
      <c r="C37" s="30"/>
      <c r="D37" s="40"/>
      <c r="E37" s="40"/>
      <c r="F37" s="40"/>
      <c r="G37" s="40"/>
      <c r="H37" s="40"/>
    </row>
    <row r="38" spans="1:8">
      <c r="A38" s="40"/>
      <c r="B38" s="40"/>
      <c r="C38" s="40"/>
      <c r="D38" s="40"/>
      <c r="E38" s="40"/>
      <c r="F38" s="40"/>
      <c r="G38" s="40"/>
      <c r="H38" s="40"/>
    </row>
    <row r="39" spans="1:8">
      <c r="A39" s="40"/>
      <c r="B39" s="40"/>
      <c r="C39" s="40"/>
      <c r="D39" s="40"/>
      <c r="E39" s="40"/>
      <c r="F39" s="40"/>
      <c r="G39" s="40"/>
      <c r="H39" s="40"/>
    </row>
    <row r="40" spans="1:8">
      <c r="A40" s="40"/>
      <c r="B40" s="40"/>
      <c r="C40" s="40"/>
      <c r="D40" s="40"/>
      <c r="E40" s="40"/>
      <c r="F40" s="40"/>
      <c r="G40" s="40"/>
      <c r="H40" s="40"/>
    </row>
    <row r="41" spans="1:8">
      <c r="A41" s="40"/>
      <c r="B41" s="40"/>
      <c r="C41" s="40"/>
      <c r="D41" s="40"/>
      <c r="E41" s="40"/>
      <c r="F41" s="40"/>
      <c r="G41" s="40"/>
      <c r="H41" s="40"/>
    </row>
    <row r="42" spans="1:8">
      <c r="A42" s="40"/>
      <c r="B42" s="40"/>
      <c r="C42" s="40"/>
      <c r="D42" s="40"/>
      <c r="E42" s="40"/>
      <c r="F42" s="40"/>
      <c r="G42" s="40"/>
      <c r="H42" s="40"/>
    </row>
    <row r="43" spans="1:8">
      <c r="A43" s="302" t="s">
        <v>410</v>
      </c>
      <c r="B43" s="303"/>
      <c r="C43" s="307" t="s">
        <v>411</v>
      </c>
      <c r="D43" s="304"/>
      <c r="E43" s="305" t="s">
        <v>412</v>
      </c>
      <c r="H43" s="40"/>
    </row>
    <row r="44" spans="1:8">
      <c r="A44" s="302" t="s">
        <v>413</v>
      </c>
      <c r="B44" s="303"/>
      <c r="C44" s="307" t="s">
        <v>414</v>
      </c>
      <c r="D44" s="304"/>
      <c r="E44" s="305" t="s">
        <v>415</v>
      </c>
      <c r="H44" s="40"/>
    </row>
    <row r="45" spans="1:8" s="287" customFormat="1" ht="8.25">
      <c r="A45" s="306"/>
      <c r="B45" s="306"/>
      <c r="C45" s="306"/>
      <c r="D45" s="306"/>
      <c r="E45" s="306"/>
      <c r="F45" s="306"/>
      <c r="G45" s="42"/>
      <c r="H45" s="42"/>
    </row>
    <row r="46" spans="1:8" s="287" customFormat="1" ht="8.25">
      <c r="A46" s="306"/>
      <c r="B46" s="306"/>
      <c r="C46" s="306"/>
      <c r="D46" s="306"/>
      <c r="E46" s="306"/>
      <c r="F46" s="306"/>
      <c r="G46" s="42"/>
      <c r="H46" s="42"/>
    </row>
    <row r="47" spans="1:8" s="287" customFormat="1" ht="8.25">
      <c r="A47" s="306"/>
      <c r="B47" s="306"/>
      <c r="C47" s="306"/>
      <c r="D47" s="306"/>
      <c r="E47" s="306"/>
      <c r="F47" s="306"/>
      <c r="G47" s="42"/>
      <c r="H47" s="42"/>
    </row>
    <row r="48" spans="1:8">
      <c r="A48" s="40" t="s">
        <v>416</v>
      </c>
      <c r="B48" s="40"/>
      <c r="C48" s="40"/>
      <c r="D48" s="40"/>
      <c r="E48" s="40"/>
      <c r="F48" s="40"/>
      <c r="G48" s="40"/>
      <c r="H48" s="40"/>
    </row>
    <row r="49" spans="1:8">
      <c r="A49" s="40" t="s">
        <v>417</v>
      </c>
      <c r="B49" s="40"/>
      <c r="C49" s="40"/>
      <c r="D49" s="40"/>
      <c r="E49" s="40"/>
      <c r="F49" s="40"/>
      <c r="G49" s="40"/>
      <c r="H49" s="40"/>
    </row>
    <row r="50" spans="1:8">
      <c r="A50" s="40"/>
      <c r="B50" s="40"/>
      <c r="C50" s="40"/>
      <c r="D50" s="40"/>
      <c r="E50" s="40"/>
      <c r="F50" s="40"/>
      <c r="G50" s="40"/>
      <c r="H50" s="40"/>
    </row>
    <row r="51" spans="1:8">
      <c r="A51" s="40" t="s">
        <v>422</v>
      </c>
      <c r="B51" s="40"/>
      <c r="C51" s="40"/>
      <c r="D51" s="40"/>
      <c r="E51" s="40"/>
      <c r="F51" s="40"/>
      <c r="G51" s="40"/>
      <c r="H51" s="40"/>
    </row>
    <row r="52" spans="1:8">
      <c r="A52" s="40" t="s">
        <v>423</v>
      </c>
      <c r="B52" s="40"/>
      <c r="C52" s="40"/>
      <c r="D52" s="40"/>
      <c r="E52" s="40"/>
      <c r="F52" s="40"/>
      <c r="G52" s="40"/>
      <c r="H52" s="40"/>
    </row>
    <row r="53" spans="1:8">
      <c r="A53" s="40"/>
      <c r="B53" s="40"/>
      <c r="C53" s="40"/>
      <c r="D53" s="40"/>
      <c r="E53" s="40"/>
      <c r="F53" s="40"/>
      <c r="G53" s="40"/>
      <c r="H53" s="40"/>
    </row>
    <row r="54" spans="1:8">
      <c r="B54" s="87" t="s">
        <v>424</v>
      </c>
      <c r="C54" s="40" t="s">
        <v>528</v>
      </c>
      <c r="D54" s="40"/>
      <c r="E54" s="40"/>
      <c r="F54" s="40"/>
      <c r="G54" s="40"/>
      <c r="H54" s="40"/>
    </row>
    <row r="55" spans="1:8">
      <c r="A55" s="40" t="s">
        <v>529</v>
      </c>
      <c r="B55" s="40"/>
      <c r="C55" s="40"/>
      <c r="D55" s="40"/>
      <c r="E55" s="40"/>
      <c r="F55" s="40"/>
      <c r="G55" s="40"/>
      <c r="H55" s="40"/>
    </row>
    <row r="56" spans="1:8">
      <c r="C56" s="416" t="s">
        <v>531</v>
      </c>
      <c r="D56" s="309" t="s">
        <v>532</v>
      </c>
      <c r="E56" s="309" t="s">
        <v>533</v>
      </c>
    </row>
    <row r="57" spans="1:8">
      <c r="B57" s="415" t="s">
        <v>530</v>
      </c>
      <c r="C57" s="293">
        <v>4189000</v>
      </c>
      <c r="D57" s="417">
        <v>3.7499999999999999E-2</v>
      </c>
      <c r="E57" s="293">
        <f>C57*(1+D57)</f>
        <v>4346087.5</v>
      </c>
      <c r="F57" s="30"/>
      <c r="G57" s="30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2"/>
  <sheetViews>
    <sheetView workbookViewId="0">
      <selection activeCell="L32" sqref="L32"/>
    </sheetView>
  </sheetViews>
  <sheetFormatPr defaultColWidth="7.42578125" defaultRowHeight="8.25"/>
  <cols>
    <col min="1" max="1" width="8.140625" style="287" customWidth="1"/>
    <col min="2" max="2" width="8.5703125" style="287" bestFit="1" customWidth="1"/>
    <col min="3" max="3" width="13.7109375" style="287" bestFit="1" customWidth="1"/>
    <col min="4" max="5" width="8.7109375" style="287" customWidth="1"/>
    <col min="6" max="6" width="9.5703125" style="287" bestFit="1" customWidth="1"/>
    <col min="7" max="7" width="9.42578125" style="287" customWidth="1"/>
    <col min="8" max="8" width="16.5703125" style="287" bestFit="1" customWidth="1"/>
    <col min="9" max="10" width="7.42578125" style="287" bestFit="1" customWidth="1"/>
    <col min="11" max="11" width="7.28515625" style="287" bestFit="1" customWidth="1"/>
    <col min="12" max="12" width="7.42578125" style="287" bestFit="1" customWidth="1"/>
    <col min="13" max="14" width="7.5703125" style="287" bestFit="1" customWidth="1"/>
    <col min="15" max="16384" width="7.42578125" style="287"/>
  </cols>
  <sheetData>
    <row r="1" spans="1:18" s="152" customFormat="1" ht="11.25">
      <c r="A1" s="433" t="s">
        <v>310</v>
      </c>
      <c r="B1" s="433"/>
      <c r="C1" s="433"/>
      <c r="D1" s="433"/>
      <c r="E1" s="433"/>
    </row>
    <row r="2" spans="1:18" s="152" customFormat="1" ht="11.25">
      <c r="A2" s="433" t="s">
        <v>535</v>
      </c>
      <c r="B2" s="433"/>
      <c r="C2" s="433"/>
      <c r="D2" s="433"/>
      <c r="E2" s="433"/>
    </row>
    <row r="3" spans="1:18">
      <c r="D3" s="287" t="s">
        <v>1270</v>
      </c>
    </row>
    <row r="5" spans="1:18">
      <c r="B5" s="310" t="s">
        <v>425</v>
      </c>
    </row>
    <row r="7" spans="1:18">
      <c r="A7" s="311"/>
      <c r="B7" s="312" t="s">
        <v>426</v>
      </c>
      <c r="C7" s="312"/>
      <c r="D7" s="313"/>
      <c r="E7" s="573" t="s">
        <v>427</v>
      </c>
      <c r="F7" s="574"/>
      <c r="G7" s="314"/>
      <c r="H7" s="315"/>
      <c r="I7" s="575" t="s">
        <v>428</v>
      </c>
      <c r="J7" s="576"/>
      <c r="K7" s="576"/>
      <c r="L7" s="576"/>
      <c r="M7" s="576"/>
      <c r="N7" s="576"/>
      <c r="O7" s="316"/>
    </row>
    <row r="8" spans="1:18">
      <c r="A8" s="317" t="s">
        <v>429</v>
      </c>
      <c r="B8" s="317" t="s">
        <v>430</v>
      </c>
      <c r="C8" s="317" t="s">
        <v>431</v>
      </c>
      <c r="D8" s="317" t="s">
        <v>432</v>
      </c>
      <c r="E8" s="317" t="s">
        <v>433</v>
      </c>
      <c r="F8" s="318" t="s">
        <v>434</v>
      </c>
      <c r="G8" s="317" t="s">
        <v>435</v>
      </c>
      <c r="H8" s="319" t="s">
        <v>436</v>
      </c>
      <c r="I8" s="314" t="s">
        <v>430</v>
      </c>
      <c r="J8" s="318" t="s">
        <v>437</v>
      </c>
      <c r="K8" s="314" t="s">
        <v>438</v>
      </c>
      <c r="L8" s="318" t="s">
        <v>439</v>
      </c>
      <c r="M8" s="314" t="s">
        <v>440</v>
      </c>
      <c r="N8" s="318" t="s">
        <v>441</v>
      </c>
      <c r="O8" s="320" t="s">
        <v>442</v>
      </c>
    </row>
    <row r="9" spans="1:18">
      <c r="A9" s="321" t="s">
        <v>443</v>
      </c>
      <c r="B9" s="322" t="s">
        <v>444</v>
      </c>
      <c r="C9" s="323" t="s">
        <v>445</v>
      </c>
      <c r="D9" s="324" t="s">
        <v>446</v>
      </c>
      <c r="E9" s="325">
        <v>320000</v>
      </c>
      <c r="F9" s="326">
        <v>40000</v>
      </c>
      <c r="G9" s="325">
        <f>SUM(E9:F9)</f>
        <v>360000</v>
      </c>
      <c r="H9" s="327" t="s">
        <v>447</v>
      </c>
      <c r="I9" s="328">
        <v>44180</v>
      </c>
      <c r="J9" s="329">
        <v>44196</v>
      </c>
      <c r="K9" s="328">
        <v>44215</v>
      </c>
      <c r="L9" s="329">
        <v>44215</v>
      </c>
      <c r="M9" s="328">
        <v>44761</v>
      </c>
      <c r="N9" s="329">
        <v>44821</v>
      </c>
      <c r="O9" s="330"/>
    </row>
    <row r="10" spans="1:18">
      <c r="A10" s="331"/>
      <c r="B10" s="332"/>
      <c r="C10" s="333"/>
      <c r="D10" s="334"/>
      <c r="E10" s="335"/>
      <c r="F10" s="336"/>
      <c r="G10" s="335"/>
      <c r="H10" s="337" t="s">
        <v>448</v>
      </c>
      <c r="I10" s="338"/>
      <c r="J10" s="339"/>
      <c r="K10" s="338"/>
      <c r="L10" s="339"/>
      <c r="M10" s="338"/>
      <c r="N10" s="339"/>
      <c r="O10" s="332"/>
    </row>
    <row r="11" spans="1:18">
      <c r="A11" s="340" t="s">
        <v>449</v>
      </c>
      <c r="B11" s="341" t="s">
        <v>450</v>
      </c>
      <c r="C11" s="342" t="s">
        <v>450</v>
      </c>
      <c r="D11" s="343">
        <v>66470869</v>
      </c>
      <c r="E11" s="344">
        <v>245850</v>
      </c>
      <c r="F11" s="345">
        <v>35516.9</v>
      </c>
      <c r="G11" s="344">
        <f>SUM(E11:F11)</f>
        <v>281366.90000000002</v>
      </c>
      <c r="H11" s="346" t="s">
        <v>451</v>
      </c>
      <c r="I11" s="347">
        <v>42195</v>
      </c>
      <c r="J11" s="348">
        <v>42359</v>
      </c>
      <c r="K11" s="349">
        <v>42366</v>
      </c>
      <c r="L11" s="348">
        <v>42359</v>
      </c>
      <c r="M11" s="349">
        <v>44557</v>
      </c>
      <c r="N11" s="348">
        <v>44617</v>
      </c>
      <c r="O11" s="345">
        <v>245850</v>
      </c>
    </row>
    <row r="12" spans="1:18">
      <c r="A12" s="350" t="s">
        <v>452</v>
      </c>
      <c r="B12" s="351" t="s">
        <v>453</v>
      </c>
      <c r="C12" s="352" t="s">
        <v>454</v>
      </c>
      <c r="D12" s="353" t="s">
        <v>455</v>
      </c>
      <c r="E12" s="354">
        <v>243750</v>
      </c>
      <c r="F12" s="355">
        <v>44078.2</v>
      </c>
      <c r="G12" s="354">
        <f>SUM(E12:F12)</f>
        <v>287828.2</v>
      </c>
      <c r="H12" s="356" t="s">
        <v>456</v>
      </c>
      <c r="I12" s="357">
        <v>42823</v>
      </c>
      <c r="J12" s="358">
        <v>43068</v>
      </c>
      <c r="K12" s="357">
        <v>43069</v>
      </c>
      <c r="L12" s="358">
        <v>43068</v>
      </c>
      <c r="M12" s="357">
        <v>44561</v>
      </c>
      <c r="N12" s="358">
        <v>44621</v>
      </c>
      <c r="O12" s="355">
        <v>243750</v>
      </c>
      <c r="P12" s="359"/>
    </row>
    <row r="13" spans="1:18">
      <c r="A13" s="360"/>
      <c r="B13" s="361"/>
      <c r="C13" s="362"/>
      <c r="D13" s="363" t="s">
        <v>457</v>
      </c>
      <c r="E13" s="364"/>
      <c r="F13" s="365" t="s">
        <v>458</v>
      </c>
      <c r="G13" s="364"/>
      <c r="H13" s="366" t="s">
        <v>459</v>
      </c>
      <c r="I13" s="367"/>
      <c r="J13" s="368"/>
      <c r="K13" s="367"/>
      <c r="L13" s="368"/>
      <c r="M13" s="367"/>
      <c r="N13" s="368"/>
      <c r="O13" s="369"/>
    </row>
    <row r="14" spans="1:18">
      <c r="A14" s="370"/>
      <c r="B14" s="371"/>
      <c r="C14" s="372"/>
      <c r="D14" s="373"/>
      <c r="E14" s="372"/>
      <c r="F14" s="374">
        <f>156116.23-F12</f>
        <v>112038.03000000001</v>
      </c>
      <c r="G14" s="372"/>
      <c r="H14" s="375" t="s">
        <v>460</v>
      </c>
      <c r="I14" s="372"/>
      <c r="J14" s="371"/>
      <c r="K14" s="372"/>
      <c r="L14" s="371"/>
      <c r="M14" s="372"/>
      <c r="N14" s="371"/>
      <c r="O14" s="376"/>
    </row>
    <row r="15" spans="1:18">
      <c r="A15" s="377" t="s">
        <v>461</v>
      </c>
      <c r="B15" s="308" t="s">
        <v>462</v>
      </c>
      <c r="C15" s="308" t="s">
        <v>462</v>
      </c>
      <c r="D15" s="378" t="s">
        <v>463</v>
      </c>
      <c r="E15" s="379">
        <v>245850</v>
      </c>
      <c r="F15" s="379">
        <v>1215.1600000000001</v>
      </c>
      <c r="G15" s="379">
        <f t="shared" ref="G15:G23" si="0">SUM(E15:F15)</f>
        <v>247065.16</v>
      </c>
      <c r="H15" s="308" t="s">
        <v>464</v>
      </c>
      <c r="I15" s="380">
        <v>42816</v>
      </c>
      <c r="J15" s="380">
        <v>43068</v>
      </c>
      <c r="K15" s="380">
        <v>43069</v>
      </c>
      <c r="L15" s="380">
        <v>43068</v>
      </c>
      <c r="M15" s="380">
        <v>44561</v>
      </c>
      <c r="N15" s="380">
        <v>44621</v>
      </c>
      <c r="O15" s="379">
        <v>128287.37</v>
      </c>
      <c r="P15" s="287" t="s">
        <v>465</v>
      </c>
      <c r="R15" s="287" t="s">
        <v>466</v>
      </c>
    </row>
    <row r="16" spans="1:18">
      <c r="A16" s="381" t="s">
        <v>467</v>
      </c>
      <c r="B16" s="381" t="s">
        <v>468</v>
      </c>
      <c r="C16" s="381" t="s">
        <v>469</v>
      </c>
      <c r="D16" s="382" t="s">
        <v>470</v>
      </c>
      <c r="E16" s="383">
        <v>250000</v>
      </c>
      <c r="F16" s="383">
        <v>54276.84</v>
      </c>
      <c r="G16" s="383">
        <f t="shared" si="0"/>
        <v>304276.83999999997</v>
      </c>
      <c r="H16" s="381" t="s">
        <v>471</v>
      </c>
      <c r="I16" s="384">
        <v>43056</v>
      </c>
      <c r="J16" s="384">
        <v>43098</v>
      </c>
      <c r="K16" s="384">
        <v>43116</v>
      </c>
      <c r="L16" s="384">
        <v>43098</v>
      </c>
      <c r="M16" s="384">
        <v>45198</v>
      </c>
      <c r="N16" s="384">
        <v>45258</v>
      </c>
      <c r="O16" s="381"/>
    </row>
    <row r="17" spans="1:17">
      <c r="A17" s="385" t="s">
        <v>472</v>
      </c>
      <c r="B17" s="381" t="s">
        <v>473</v>
      </c>
      <c r="C17" s="381" t="s">
        <v>474</v>
      </c>
      <c r="D17" s="386" t="s">
        <v>475</v>
      </c>
      <c r="E17" s="383">
        <v>270476.19</v>
      </c>
      <c r="F17" s="383">
        <v>37503.14</v>
      </c>
      <c r="G17" s="383">
        <f t="shared" si="0"/>
        <v>307979.33</v>
      </c>
      <c r="H17" s="385" t="s">
        <v>476</v>
      </c>
      <c r="I17" s="384">
        <v>43187</v>
      </c>
      <c r="J17" s="384">
        <v>43231</v>
      </c>
      <c r="K17" s="384">
        <v>43236</v>
      </c>
      <c r="L17" s="384">
        <v>43231</v>
      </c>
      <c r="M17" s="384">
        <v>45291</v>
      </c>
      <c r="N17" s="384">
        <v>52656</v>
      </c>
      <c r="O17" s="383">
        <v>216000</v>
      </c>
    </row>
    <row r="18" spans="1:17">
      <c r="A18" s="377" t="s">
        <v>477</v>
      </c>
      <c r="B18" s="387" t="s">
        <v>478</v>
      </c>
      <c r="C18" s="308" t="s">
        <v>479</v>
      </c>
      <c r="D18" s="378" t="s">
        <v>480</v>
      </c>
      <c r="E18" s="379">
        <v>222857.14</v>
      </c>
      <c r="F18" s="379">
        <v>17940.52</v>
      </c>
      <c r="G18" s="379">
        <f t="shared" si="0"/>
        <v>240797.66</v>
      </c>
      <c r="H18" s="377" t="s">
        <v>481</v>
      </c>
      <c r="I18" s="380">
        <v>43187</v>
      </c>
      <c r="J18" s="380">
        <v>43231</v>
      </c>
      <c r="K18" s="380">
        <v>43236</v>
      </c>
      <c r="L18" s="380">
        <v>43231</v>
      </c>
      <c r="M18" s="380">
        <v>45291</v>
      </c>
      <c r="N18" s="380">
        <v>45351</v>
      </c>
      <c r="O18" s="379">
        <v>66000</v>
      </c>
    </row>
    <row r="19" spans="1:17">
      <c r="A19" s="381" t="s">
        <v>482</v>
      </c>
      <c r="B19" s="381" t="s">
        <v>483</v>
      </c>
      <c r="C19" s="381" t="s">
        <v>484</v>
      </c>
      <c r="D19" s="386" t="s">
        <v>485</v>
      </c>
      <c r="E19" s="383">
        <v>250000</v>
      </c>
      <c r="F19" s="383">
        <v>10600</v>
      </c>
      <c r="G19" s="383">
        <f t="shared" si="0"/>
        <v>260600</v>
      </c>
      <c r="H19" s="381" t="s">
        <v>486</v>
      </c>
      <c r="I19" s="384">
        <v>43493</v>
      </c>
      <c r="J19" s="384">
        <v>43665</v>
      </c>
      <c r="K19" s="384">
        <v>43669</v>
      </c>
      <c r="L19" s="384">
        <v>43669</v>
      </c>
      <c r="M19" s="384">
        <v>44640</v>
      </c>
      <c r="N19" s="384">
        <v>44700</v>
      </c>
      <c r="O19" s="388">
        <v>225021.11</v>
      </c>
    </row>
    <row r="20" spans="1:17">
      <c r="A20" s="377" t="s">
        <v>487</v>
      </c>
      <c r="B20" s="308" t="s">
        <v>487</v>
      </c>
      <c r="C20" s="308" t="s">
        <v>488</v>
      </c>
      <c r="D20" s="378" t="s">
        <v>489</v>
      </c>
      <c r="E20" s="379">
        <v>238750</v>
      </c>
      <c r="F20" s="379">
        <v>8005.61</v>
      </c>
      <c r="G20" s="379">
        <f t="shared" si="0"/>
        <v>246755.61</v>
      </c>
      <c r="H20" s="389" t="s">
        <v>490</v>
      </c>
      <c r="I20" s="380">
        <v>43536</v>
      </c>
      <c r="J20" s="380">
        <v>43815</v>
      </c>
      <c r="K20" s="380">
        <v>43832</v>
      </c>
      <c r="L20" s="380">
        <v>43815</v>
      </c>
      <c r="M20" s="380">
        <v>44911</v>
      </c>
      <c r="N20" s="380">
        <v>44971</v>
      </c>
      <c r="O20" s="390">
        <v>0</v>
      </c>
    </row>
    <row r="21" spans="1:17">
      <c r="A21" s="385" t="s">
        <v>491</v>
      </c>
      <c r="B21" s="381" t="s">
        <v>492</v>
      </c>
      <c r="C21" s="381" t="s">
        <v>493</v>
      </c>
      <c r="D21" s="386" t="s">
        <v>494</v>
      </c>
      <c r="E21" s="383">
        <v>143250</v>
      </c>
      <c r="F21" s="383">
        <v>8930</v>
      </c>
      <c r="G21" s="383">
        <f t="shared" si="0"/>
        <v>152180</v>
      </c>
      <c r="H21" s="381" t="s">
        <v>495</v>
      </c>
      <c r="I21" s="384">
        <v>43656</v>
      </c>
      <c r="J21" s="384">
        <v>43830</v>
      </c>
      <c r="K21" s="384">
        <v>43850</v>
      </c>
      <c r="L21" s="384">
        <v>43830</v>
      </c>
      <c r="M21" s="384">
        <v>44561</v>
      </c>
      <c r="N21" s="384">
        <v>44621</v>
      </c>
      <c r="O21" s="381"/>
    </row>
    <row r="22" spans="1:17">
      <c r="A22" s="377" t="s">
        <v>496</v>
      </c>
      <c r="B22" s="308" t="s">
        <v>497</v>
      </c>
      <c r="C22" s="308" t="s">
        <v>498</v>
      </c>
      <c r="D22" s="378" t="s">
        <v>499</v>
      </c>
      <c r="E22" s="379">
        <v>238750</v>
      </c>
      <c r="F22" s="379">
        <v>250</v>
      </c>
      <c r="G22" s="379">
        <f t="shared" si="0"/>
        <v>239000</v>
      </c>
      <c r="H22" s="377" t="s">
        <v>500</v>
      </c>
      <c r="I22" s="380">
        <v>43917</v>
      </c>
      <c r="J22" s="380">
        <v>44036</v>
      </c>
      <c r="K22" s="380">
        <v>44055</v>
      </c>
      <c r="L22" s="380">
        <v>44036</v>
      </c>
      <c r="M22" s="380">
        <v>45131</v>
      </c>
      <c r="N22" s="380">
        <v>45191</v>
      </c>
      <c r="O22" s="390">
        <v>0</v>
      </c>
    </row>
    <row r="23" spans="1:17">
      <c r="A23" s="385" t="s">
        <v>501</v>
      </c>
      <c r="B23" s="381" t="s">
        <v>502</v>
      </c>
      <c r="C23" s="381" t="s">
        <v>503</v>
      </c>
      <c r="D23" s="386" t="s">
        <v>504</v>
      </c>
      <c r="E23" s="383">
        <v>481104</v>
      </c>
      <c r="F23" s="383">
        <v>500</v>
      </c>
      <c r="G23" s="383">
        <f t="shared" si="0"/>
        <v>481604</v>
      </c>
      <c r="H23" s="391" t="s">
        <v>490</v>
      </c>
      <c r="I23" s="384">
        <v>43917</v>
      </c>
      <c r="J23" s="384">
        <v>44036</v>
      </c>
      <c r="K23" s="384">
        <v>44055</v>
      </c>
      <c r="L23" s="384">
        <v>44036</v>
      </c>
      <c r="M23" s="384">
        <v>45131</v>
      </c>
      <c r="N23" s="384">
        <v>45191</v>
      </c>
      <c r="O23" s="392">
        <v>0</v>
      </c>
      <c r="P23" s="359">
        <f>17718.32-F23</f>
        <v>17218.32</v>
      </c>
      <c r="Q23" s="287" t="s">
        <v>505</v>
      </c>
    </row>
    <row r="24" spans="1:17">
      <c r="A24" s="308" t="s">
        <v>506</v>
      </c>
      <c r="B24" s="308"/>
      <c r="C24" s="308"/>
      <c r="D24" s="308"/>
      <c r="E24" s="379">
        <v>100000</v>
      </c>
      <c r="F24" s="379"/>
      <c r="G24" s="379"/>
      <c r="H24" s="314" t="s">
        <v>507</v>
      </c>
      <c r="I24" s="308"/>
      <c r="J24" s="380">
        <v>44188</v>
      </c>
      <c r="K24" s="308"/>
      <c r="L24" s="308"/>
      <c r="M24" s="380">
        <v>44578</v>
      </c>
      <c r="N24" s="308"/>
      <c r="O24" s="379">
        <v>100000</v>
      </c>
    </row>
    <row r="25" spans="1:17">
      <c r="E25" s="394">
        <f>SUM(E9:E24)</f>
        <v>3250637.33</v>
      </c>
      <c r="F25" s="393">
        <f>SUM(F9:F24)</f>
        <v>370854.40000000002</v>
      </c>
      <c r="G25" s="394"/>
    </row>
    <row r="26" spans="1:17">
      <c r="A26" s="395" t="s">
        <v>508</v>
      </c>
      <c r="B26" s="396"/>
      <c r="C26" s="395" t="s">
        <v>509</v>
      </c>
      <c r="D26" s="396"/>
      <c r="E26" s="397">
        <v>238856</v>
      </c>
      <c r="F26" s="397">
        <v>161144</v>
      </c>
      <c r="G26" s="398">
        <f t="shared" ref="G26:G36" si="1">E26+F26</f>
        <v>400000</v>
      </c>
      <c r="H26" s="395" t="s">
        <v>510</v>
      </c>
      <c r="I26" s="399">
        <v>1144</v>
      </c>
      <c r="J26" s="396" t="s">
        <v>511</v>
      </c>
    </row>
    <row r="27" spans="1:17">
      <c r="A27" s="400" t="s">
        <v>512</v>
      </c>
      <c r="B27" s="401"/>
      <c r="C27" s="400" t="s">
        <v>509</v>
      </c>
      <c r="D27" s="401"/>
      <c r="E27" s="383">
        <v>200000</v>
      </c>
      <c r="F27" s="383">
        <v>50000</v>
      </c>
      <c r="G27" s="402">
        <f t="shared" si="1"/>
        <v>250000</v>
      </c>
      <c r="H27" s="400" t="s">
        <v>513</v>
      </c>
      <c r="I27" s="403"/>
      <c r="J27" s="401"/>
      <c r="K27" s="404" t="s">
        <v>514</v>
      </c>
      <c r="L27" s="404"/>
      <c r="M27" s="404" t="s">
        <v>515</v>
      </c>
    </row>
    <row r="28" spans="1:17">
      <c r="A28" s="340" t="s">
        <v>512</v>
      </c>
      <c r="B28" s="405"/>
      <c r="C28" s="340" t="s">
        <v>509</v>
      </c>
      <c r="D28" s="405"/>
      <c r="E28" s="345">
        <v>100000</v>
      </c>
      <c r="F28" s="345">
        <v>0</v>
      </c>
      <c r="G28" s="406">
        <f t="shared" si="1"/>
        <v>100000</v>
      </c>
      <c r="H28" s="340" t="s">
        <v>516</v>
      </c>
      <c r="I28" s="342"/>
      <c r="J28" s="405"/>
      <c r="K28" s="287" t="s">
        <v>514</v>
      </c>
      <c r="M28" s="287" t="s">
        <v>515</v>
      </c>
    </row>
    <row r="29" spans="1:17">
      <c r="A29" s="400" t="s">
        <v>517</v>
      </c>
      <c r="B29" s="401"/>
      <c r="C29" s="400" t="s">
        <v>509</v>
      </c>
      <c r="D29" s="401"/>
      <c r="E29" s="383">
        <v>238856</v>
      </c>
      <c r="F29" s="383">
        <v>111144</v>
      </c>
      <c r="G29" s="402">
        <f t="shared" si="1"/>
        <v>350000</v>
      </c>
      <c r="H29" s="400" t="s">
        <v>518</v>
      </c>
      <c r="I29" s="407">
        <v>250</v>
      </c>
      <c r="J29" s="401" t="s">
        <v>511</v>
      </c>
    </row>
    <row r="30" spans="1:17">
      <c r="A30" s="340" t="s">
        <v>519</v>
      </c>
      <c r="B30" s="405"/>
      <c r="C30" s="340" t="s">
        <v>509</v>
      </c>
      <c r="D30" s="405"/>
      <c r="E30" s="345"/>
      <c r="F30" s="345">
        <v>300000</v>
      </c>
      <c r="G30" s="406">
        <f t="shared" si="1"/>
        <v>300000</v>
      </c>
      <c r="H30" s="340" t="s">
        <v>520</v>
      </c>
      <c r="I30" s="342"/>
      <c r="J30" s="405"/>
    </row>
    <row r="31" spans="1:17">
      <c r="A31" s="400" t="s">
        <v>521</v>
      </c>
      <c r="B31" s="401"/>
      <c r="C31" s="400" t="s">
        <v>509</v>
      </c>
      <c r="D31" s="401"/>
      <c r="E31" s="383">
        <v>150000</v>
      </c>
      <c r="F31" s="383">
        <v>2105.21</v>
      </c>
      <c r="G31" s="402">
        <f t="shared" si="1"/>
        <v>152105.21</v>
      </c>
      <c r="H31" s="400" t="s">
        <v>522</v>
      </c>
      <c r="I31" s="403"/>
      <c r="J31" s="401"/>
    </row>
    <row r="32" spans="1:17">
      <c r="A32" s="340" t="s">
        <v>519</v>
      </c>
      <c r="B32" s="405"/>
      <c r="C32" s="340" t="s">
        <v>509</v>
      </c>
      <c r="D32" s="405"/>
      <c r="E32" s="345"/>
      <c r="F32" s="345">
        <v>490300.97</v>
      </c>
      <c r="G32" s="406">
        <f t="shared" si="1"/>
        <v>490300.97</v>
      </c>
      <c r="H32" s="340" t="s">
        <v>523</v>
      </c>
      <c r="I32" s="342"/>
      <c r="J32" s="405"/>
    </row>
    <row r="33" spans="1:10">
      <c r="A33" s="400" t="s">
        <v>519</v>
      </c>
      <c r="B33" s="401"/>
      <c r="C33" s="400" t="s">
        <v>509</v>
      </c>
      <c r="D33" s="401"/>
      <c r="E33" s="383"/>
      <c r="F33" s="383">
        <v>750000</v>
      </c>
      <c r="G33" s="408">
        <f t="shared" si="1"/>
        <v>750000</v>
      </c>
      <c r="H33" s="400" t="s">
        <v>524</v>
      </c>
      <c r="I33" s="403"/>
      <c r="J33" s="401"/>
    </row>
    <row r="34" spans="1:10">
      <c r="A34" s="340" t="s">
        <v>519</v>
      </c>
      <c r="B34" s="405"/>
      <c r="C34" s="340" t="s">
        <v>509</v>
      </c>
      <c r="D34" s="405"/>
      <c r="E34" s="345"/>
      <c r="F34" s="345">
        <v>750000</v>
      </c>
      <c r="G34" s="409">
        <f t="shared" si="1"/>
        <v>750000</v>
      </c>
      <c r="H34" s="340" t="s">
        <v>525</v>
      </c>
      <c r="I34" s="342"/>
      <c r="J34" s="405"/>
    </row>
    <row r="35" spans="1:10">
      <c r="A35" s="400" t="s">
        <v>519</v>
      </c>
      <c r="B35" s="401"/>
      <c r="C35" s="400" t="s">
        <v>509</v>
      </c>
      <c r="D35" s="401"/>
      <c r="E35" s="383"/>
      <c r="F35" s="383">
        <v>400000</v>
      </c>
      <c r="G35" s="408">
        <f t="shared" si="1"/>
        <v>400000</v>
      </c>
      <c r="H35" s="400" t="s">
        <v>526</v>
      </c>
      <c r="I35" s="403"/>
      <c r="J35" s="401"/>
    </row>
    <row r="36" spans="1:10">
      <c r="A36" s="410" t="s">
        <v>519</v>
      </c>
      <c r="B36" s="411"/>
      <c r="C36" s="410" t="s">
        <v>509</v>
      </c>
      <c r="D36" s="411"/>
      <c r="E36" s="412"/>
      <c r="F36" s="412">
        <v>100000</v>
      </c>
      <c r="G36" s="413">
        <f t="shared" si="1"/>
        <v>100000</v>
      </c>
      <c r="H36" s="410" t="s">
        <v>527</v>
      </c>
      <c r="I36" s="414"/>
      <c r="J36" s="411"/>
    </row>
    <row r="37" spans="1:10">
      <c r="E37" s="394">
        <f>SUM(E26:E36)</f>
        <v>927712</v>
      </c>
      <c r="F37" s="394">
        <f t="shared" ref="F37:G37" si="2">SUM(F26:F36)</f>
        <v>3114694.1799999997</v>
      </c>
      <c r="G37" s="394">
        <f t="shared" si="2"/>
        <v>4042406.1799999997</v>
      </c>
    </row>
    <row r="38" spans="1:10">
      <c r="E38" s="394"/>
      <c r="F38" s="394"/>
      <c r="G38" s="394"/>
    </row>
    <row r="39" spans="1:10">
      <c r="E39" s="394"/>
      <c r="F39" s="394"/>
      <c r="G39" s="394"/>
    </row>
    <row r="40" spans="1:10">
      <c r="E40" s="394"/>
      <c r="F40" s="394"/>
      <c r="G40" s="394"/>
    </row>
    <row r="41" spans="1:10">
      <c r="E41" s="394"/>
      <c r="F41" s="394"/>
      <c r="G41" s="394"/>
    </row>
    <row r="42" spans="1:10">
      <c r="E42" s="394"/>
      <c r="F42" s="394"/>
      <c r="G42" s="394"/>
    </row>
    <row r="43" spans="1:10">
      <c r="E43" s="394"/>
      <c r="F43" s="394"/>
      <c r="G43" s="394"/>
    </row>
    <row r="44" spans="1:10">
      <c r="E44" s="394"/>
      <c r="F44" s="394"/>
      <c r="G44" s="394"/>
    </row>
    <row r="45" spans="1:10">
      <c r="E45" s="394"/>
      <c r="F45" s="394"/>
      <c r="G45" s="394"/>
    </row>
    <row r="46" spans="1:10">
      <c r="E46" s="394"/>
      <c r="F46" s="394"/>
      <c r="G46" s="394"/>
    </row>
    <row r="47" spans="1:10">
      <c r="E47" s="394"/>
      <c r="F47" s="394"/>
      <c r="G47" s="394"/>
    </row>
    <row r="48" spans="1:10">
      <c r="E48" s="394"/>
      <c r="F48" s="394"/>
      <c r="G48" s="394"/>
    </row>
    <row r="49" spans="5:7">
      <c r="E49" s="394"/>
      <c r="F49" s="394"/>
      <c r="G49" s="394"/>
    </row>
    <row r="50" spans="5:7">
      <c r="E50" s="394"/>
      <c r="F50" s="394"/>
      <c r="G50" s="394"/>
    </row>
    <row r="51" spans="5:7">
      <c r="E51" s="394"/>
      <c r="F51" s="394"/>
      <c r="G51" s="394"/>
    </row>
    <row r="52" spans="5:7">
      <c r="E52" s="394"/>
      <c r="F52" s="394"/>
      <c r="G52" s="394"/>
    </row>
    <row r="53" spans="5:7">
      <c r="E53" s="394"/>
      <c r="F53" s="394"/>
      <c r="G53" s="394"/>
    </row>
    <row r="54" spans="5:7">
      <c r="E54" s="394"/>
      <c r="F54" s="394"/>
      <c r="G54" s="394"/>
    </row>
    <row r="55" spans="5:7">
      <c r="E55" s="394"/>
      <c r="F55" s="394"/>
      <c r="G55" s="394"/>
    </row>
    <row r="56" spans="5:7">
      <c r="E56" s="394"/>
      <c r="F56" s="394"/>
      <c r="G56" s="394"/>
    </row>
    <row r="57" spans="5:7">
      <c r="E57" s="394"/>
      <c r="F57" s="394"/>
      <c r="G57" s="394"/>
    </row>
    <row r="58" spans="5:7">
      <c r="E58" s="394"/>
      <c r="F58" s="394"/>
      <c r="G58" s="394"/>
    </row>
    <row r="59" spans="5:7">
      <c r="E59" s="394"/>
      <c r="F59" s="394"/>
      <c r="G59" s="394"/>
    </row>
    <row r="60" spans="5:7">
      <c r="E60" s="394"/>
      <c r="F60" s="394"/>
      <c r="G60" s="394"/>
    </row>
    <row r="61" spans="5:7">
      <c r="E61" s="394"/>
      <c r="F61" s="394"/>
      <c r="G61" s="394"/>
    </row>
    <row r="62" spans="5:7">
      <c r="E62" s="394"/>
      <c r="F62" s="394"/>
      <c r="G62" s="394"/>
    </row>
  </sheetData>
  <mergeCells count="4">
    <mergeCell ref="E7:F7"/>
    <mergeCell ref="I7:N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A2" sqref="A2:G2"/>
    </sheetView>
  </sheetViews>
  <sheetFormatPr defaultRowHeight="15"/>
  <cols>
    <col min="1" max="1" width="23" customWidth="1"/>
    <col min="2" max="2" width="14.140625" bestFit="1" customWidth="1"/>
    <col min="3" max="3" width="7.42578125" bestFit="1" customWidth="1"/>
    <col min="4" max="4" width="14.85546875" bestFit="1" customWidth="1"/>
    <col min="5" max="5" width="7.42578125" bestFit="1" customWidth="1"/>
    <col min="6" max="6" width="13.85546875" bestFit="1" customWidth="1"/>
    <col min="7" max="7" width="9.28515625" bestFit="1" customWidth="1"/>
    <col min="257" max="257" width="22.85546875" customWidth="1"/>
    <col min="258" max="258" width="14.140625" bestFit="1" customWidth="1"/>
    <col min="259" max="259" width="7.42578125" bestFit="1" customWidth="1"/>
    <col min="260" max="260" width="14.85546875" bestFit="1" customWidth="1"/>
    <col min="261" max="261" width="7.42578125" bestFit="1" customWidth="1"/>
    <col min="262" max="262" width="13.85546875" bestFit="1" customWidth="1"/>
    <col min="263" max="263" width="9.28515625" bestFit="1" customWidth="1"/>
    <col min="513" max="513" width="22.85546875" customWidth="1"/>
    <col min="514" max="514" width="14.140625" bestFit="1" customWidth="1"/>
    <col min="515" max="515" width="7.42578125" bestFit="1" customWidth="1"/>
    <col min="516" max="516" width="14.85546875" bestFit="1" customWidth="1"/>
    <col min="517" max="517" width="7.42578125" bestFit="1" customWidth="1"/>
    <col min="518" max="518" width="13.85546875" bestFit="1" customWidth="1"/>
    <col min="519" max="519" width="9.28515625" bestFit="1" customWidth="1"/>
    <col min="769" max="769" width="22.85546875" customWidth="1"/>
    <col min="770" max="770" width="14.140625" bestFit="1" customWidth="1"/>
    <col min="771" max="771" width="7.42578125" bestFit="1" customWidth="1"/>
    <col min="772" max="772" width="14.85546875" bestFit="1" customWidth="1"/>
    <col min="773" max="773" width="7.42578125" bestFit="1" customWidth="1"/>
    <col min="774" max="774" width="13.85546875" bestFit="1" customWidth="1"/>
    <col min="775" max="775" width="9.28515625" bestFit="1" customWidth="1"/>
    <col min="1025" max="1025" width="22.85546875" customWidth="1"/>
    <col min="1026" max="1026" width="14.140625" bestFit="1" customWidth="1"/>
    <col min="1027" max="1027" width="7.42578125" bestFit="1" customWidth="1"/>
    <col min="1028" max="1028" width="14.85546875" bestFit="1" customWidth="1"/>
    <col min="1029" max="1029" width="7.42578125" bestFit="1" customWidth="1"/>
    <col min="1030" max="1030" width="13.85546875" bestFit="1" customWidth="1"/>
    <col min="1031" max="1031" width="9.28515625" bestFit="1" customWidth="1"/>
    <col min="1281" max="1281" width="22.85546875" customWidth="1"/>
    <col min="1282" max="1282" width="14.140625" bestFit="1" customWidth="1"/>
    <col min="1283" max="1283" width="7.42578125" bestFit="1" customWidth="1"/>
    <col min="1284" max="1284" width="14.85546875" bestFit="1" customWidth="1"/>
    <col min="1285" max="1285" width="7.42578125" bestFit="1" customWidth="1"/>
    <col min="1286" max="1286" width="13.85546875" bestFit="1" customWidth="1"/>
    <col min="1287" max="1287" width="9.28515625" bestFit="1" customWidth="1"/>
    <col min="1537" max="1537" width="22.85546875" customWidth="1"/>
    <col min="1538" max="1538" width="14.140625" bestFit="1" customWidth="1"/>
    <col min="1539" max="1539" width="7.42578125" bestFit="1" customWidth="1"/>
    <col min="1540" max="1540" width="14.85546875" bestFit="1" customWidth="1"/>
    <col min="1541" max="1541" width="7.42578125" bestFit="1" customWidth="1"/>
    <col min="1542" max="1542" width="13.85546875" bestFit="1" customWidth="1"/>
    <col min="1543" max="1543" width="9.28515625" bestFit="1" customWidth="1"/>
    <col min="1793" max="1793" width="22.85546875" customWidth="1"/>
    <col min="1794" max="1794" width="14.140625" bestFit="1" customWidth="1"/>
    <col min="1795" max="1795" width="7.42578125" bestFit="1" customWidth="1"/>
    <col min="1796" max="1796" width="14.85546875" bestFit="1" customWidth="1"/>
    <col min="1797" max="1797" width="7.42578125" bestFit="1" customWidth="1"/>
    <col min="1798" max="1798" width="13.85546875" bestFit="1" customWidth="1"/>
    <col min="1799" max="1799" width="9.28515625" bestFit="1" customWidth="1"/>
    <col min="2049" max="2049" width="22.85546875" customWidth="1"/>
    <col min="2050" max="2050" width="14.140625" bestFit="1" customWidth="1"/>
    <col min="2051" max="2051" width="7.42578125" bestFit="1" customWidth="1"/>
    <col min="2052" max="2052" width="14.85546875" bestFit="1" customWidth="1"/>
    <col min="2053" max="2053" width="7.42578125" bestFit="1" customWidth="1"/>
    <col min="2054" max="2054" width="13.85546875" bestFit="1" customWidth="1"/>
    <col min="2055" max="2055" width="9.28515625" bestFit="1" customWidth="1"/>
    <col min="2305" max="2305" width="22.85546875" customWidth="1"/>
    <col min="2306" max="2306" width="14.140625" bestFit="1" customWidth="1"/>
    <col min="2307" max="2307" width="7.42578125" bestFit="1" customWidth="1"/>
    <col min="2308" max="2308" width="14.85546875" bestFit="1" customWidth="1"/>
    <col min="2309" max="2309" width="7.42578125" bestFit="1" customWidth="1"/>
    <col min="2310" max="2310" width="13.85546875" bestFit="1" customWidth="1"/>
    <col min="2311" max="2311" width="9.28515625" bestFit="1" customWidth="1"/>
    <col min="2561" max="2561" width="22.85546875" customWidth="1"/>
    <col min="2562" max="2562" width="14.140625" bestFit="1" customWidth="1"/>
    <col min="2563" max="2563" width="7.42578125" bestFit="1" customWidth="1"/>
    <col min="2564" max="2564" width="14.85546875" bestFit="1" customWidth="1"/>
    <col min="2565" max="2565" width="7.42578125" bestFit="1" customWidth="1"/>
    <col min="2566" max="2566" width="13.85546875" bestFit="1" customWidth="1"/>
    <col min="2567" max="2567" width="9.28515625" bestFit="1" customWidth="1"/>
    <col min="2817" max="2817" width="22.85546875" customWidth="1"/>
    <col min="2818" max="2818" width="14.140625" bestFit="1" customWidth="1"/>
    <col min="2819" max="2819" width="7.42578125" bestFit="1" customWidth="1"/>
    <col min="2820" max="2820" width="14.85546875" bestFit="1" customWidth="1"/>
    <col min="2821" max="2821" width="7.42578125" bestFit="1" customWidth="1"/>
    <col min="2822" max="2822" width="13.85546875" bestFit="1" customWidth="1"/>
    <col min="2823" max="2823" width="9.28515625" bestFit="1" customWidth="1"/>
    <col min="3073" max="3073" width="22.85546875" customWidth="1"/>
    <col min="3074" max="3074" width="14.140625" bestFit="1" customWidth="1"/>
    <col min="3075" max="3075" width="7.42578125" bestFit="1" customWidth="1"/>
    <col min="3076" max="3076" width="14.85546875" bestFit="1" customWidth="1"/>
    <col min="3077" max="3077" width="7.42578125" bestFit="1" customWidth="1"/>
    <col min="3078" max="3078" width="13.85546875" bestFit="1" customWidth="1"/>
    <col min="3079" max="3079" width="9.28515625" bestFit="1" customWidth="1"/>
    <col min="3329" max="3329" width="22.85546875" customWidth="1"/>
    <col min="3330" max="3330" width="14.140625" bestFit="1" customWidth="1"/>
    <col min="3331" max="3331" width="7.42578125" bestFit="1" customWidth="1"/>
    <col min="3332" max="3332" width="14.85546875" bestFit="1" customWidth="1"/>
    <col min="3333" max="3333" width="7.42578125" bestFit="1" customWidth="1"/>
    <col min="3334" max="3334" width="13.85546875" bestFit="1" customWidth="1"/>
    <col min="3335" max="3335" width="9.28515625" bestFit="1" customWidth="1"/>
    <col min="3585" max="3585" width="22.85546875" customWidth="1"/>
    <col min="3586" max="3586" width="14.140625" bestFit="1" customWidth="1"/>
    <col min="3587" max="3587" width="7.42578125" bestFit="1" customWidth="1"/>
    <col min="3588" max="3588" width="14.85546875" bestFit="1" customWidth="1"/>
    <col min="3589" max="3589" width="7.42578125" bestFit="1" customWidth="1"/>
    <col min="3590" max="3590" width="13.85546875" bestFit="1" customWidth="1"/>
    <col min="3591" max="3591" width="9.28515625" bestFit="1" customWidth="1"/>
    <col min="3841" max="3841" width="22.85546875" customWidth="1"/>
    <col min="3842" max="3842" width="14.140625" bestFit="1" customWidth="1"/>
    <col min="3843" max="3843" width="7.42578125" bestFit="1" customWidth="1"/>
    <col min="3844" max="3844" width="14.85546875" bestFit="1" customWidth="1"/>
    <col min="3845" max="3845" width="7.42578125" bestFit="1" customWidth="1"/>
    <col min="3846" max="3846" width="13.85546875" bestFit="1" customWidth="1"/>
    <col min="3847" max="3847" width="9.28515625" bestFit="1" customWidth="1"/>
    <col min="4097" max="4097" width="22.85546875" customWidth="1"/>
    <col min="4098" max="4098" width="14.140625" bestFit="1" customWidth="1"/>
    <col min="4099" max="4099" width="7.42578125" bestFit="1" customWidth="1"/>
    <col min="4100" max="4100" width="14.85546875" bestFit="1" customWidth="1"/>
    <col min="4101" max="4101" width="7.42578125" bestFit="1" customWidth="1"/>
    <col min="4102" max="4102" width="13.85546875" bestFit="1" customWidth="1"/>
    <col min="4103" max="4103" width="9.28515625" bestFit="1" customWidth="1"/>
    <col min="4353" max="4353" width="22.85546875" customWidth="1"/>
    <col min="4354" max="4354" width="14.140625" bestFit="1" customWidth="1"/>
    <col min="4355" max="4355" width="7.42578125" bestFit="1" customWidth="1"/>
    <col min="4356" max="4356" width="14.85546875" bestFit="1" customWidth="1"/>
    <col min="4357" max="4357" width="7.42578125" bestFit="1" customWidth="1"/>
    <col min="4358" max="4358" width="13.85546875" bestFit="1" customWidth="1"/>
    <col min="4359" max="4359" width="9.28515625" bestFit="1" customWidth="1"/>
    <col min="4609" max="4609" width="22.85546875" customWidth="1"/>
    <col min="4610" max="4610" width="14.140625" bestFit="1" customWidth="1"/>
    <col min="4611" max="4611" width="7.42578125" bestFit="1" customWidth="1"/>
    <col min="4612" max="4612" width="14.85546875" bestFit="1" customWidth="1"/>
    <col min="4613" max="4613" width="7.42578125" bestFit="1" customWidth="1"/>
    <col min="4614" max="4614" width="13.85546875" bestFit="1" customWidth="1"/>
    <col min="4615" max="4615" width="9.28515625" bestFit="1" customWidth="1"/>
    <col min="4865" max="4865" width="22.85546875" customWidth="1"/>
    <col min="4866" max="4866" width="14.140625" bestFit="1" customWidth="1"/>
    <col min="4867" max="4867" width="7.42578125" bestFit="1" customWidth="1"/>
    <col min="4868" max="4868" width="14.85546875" bestFit="1" customWidth="1"/>
    <col min="4869" max="4869" width="7.42578125" bestFit="1" customWidth="1"/>
    <col min="4870" max="4870" width="13.85546875" bestFit="1" customWidth="1"/>
    <col min="4871" max="4871" width="9.28515625" bestFit="1" customWidth="1"/>
    <col min="5121" max="5121" width="22.85546875" customWidth="1"/>
    <col min="5122" max="5122" width="14.140625" bestFit="1" customWidth="1"/>
    <col min="5123" max="5123" width="7.42578125" bestFit="1" customWidth="1"/>
    <col min="5124" max="5124" width="14.85546875" bestFit="1" customWidth="1"/>
    <col min="5125" max="5125" width="7.42578125" bestFit="1" customWidth="1"/>
    <col min="5126" max="5126" width="13.85546875" bestFit="1" customWidth="1"/>
    <col min="5127" max="5127" width="9.28515625" bestFit="1" customWidth="1"/>
    <col min="5377" max="5377" width="22.85546875" customWidth="1"/>
    <col min="5378" max="5378" width="14.140625" bestFit="1" customWidth="1"/>
    <col min="5379" max="5379" width="7.42578125" bestFit="1" customWidth="1"/>
    <col min="5380" max="5380" width="14.85546875" bestFit="1" customWidth="1"/>
    <col min="5381" max="5381" width="7.42578125" bestFit="1" customWidth="1"/>
    <col min="5382" max="5382" width="13.85546875" bestFit="1" customWidth="1"/>
    <col min="5383" max="5383" width="9.28515625" bestFit="1" customWidth="1"/>
    <col min="5633" max="5633" width="22.85546875" customWidth="1"/>
    <col min="5634" max="5634" width="14.140625" bestFit="1" customWidth="1"/>
    <col min="5635" max="5635" width="7.42578125" bestFit="1" customWidth="1"/>
    <col min="5636" max="5636" width="14.85546875" bestFit="1" customWidth="1"/>
    <col min="5637" max="5637" width="7.42578125" bestFit="1" customWidth="1"/>
    <col min="5638" max="5638" width="13.85546875" bestFit="1" customWidth="1"/>
    <col min="5639" max="5639" width="9.28515625" bestFit="1" customWidth="1"/>
    <col min="5889" max="5889" width="22.85546875" customWidth="1"/>
    <col min="5890" max="5890" width="14.140625" bestFit="1" customWidth="1"/>
    <col min="5891" max="5891" width="7.42578125" bestFit="1" customWidth="1"/>
    <col min="5892" max="5892" width="14.85546875" bestFit="1" customWidth="1"/>
    <col min="5893" max="5893" width="7.42578125" bestFit="1" customWidth="1"/>
    <col min="5894" max="5894" width="13.85546875" bestFit="1" customWidth="1"/>
    <col min="5895" max="5895" width="9.28515625" bestFit="1" customWidth="1"/>
    <col min="6145" max="6145" width="22.85546875" customWidth="1"/>
    <col min="6146" max="6146" width="14.140625" bestFit="1" customWidth="1"/>
    <col min="6147" max="6147" width="7.42578125" bestFit="1" customWidth="1"/>
    <col min="6148" max="6148" width="14.85546875" bestFit="1" customWidth="1"/>
    <col min="6149" max="6149" width="7.42578125" bestFit="1" customWidth="1"/>
    <col min="6150" max="6150" width="13.85546875" bestFit="1" customWidth="1"/>
    <col min="6151" max="6151" width="9.28515625" bestFit="1" customWidth="1"/>
    <col min="6401" max="6401" width="22.85546875" customWidth="1"/>
    <col min="6402" max="6402" width="14.140625" bestFit="1" customWidth="1"/>
    <col min="6403" max="6403" width="7.42578125" bestFit="1" customWidth="1"/>
    <col min="6404" max="6404" width="14.85546875" bestFit="1" customWidth="1"/>
    <col min="6405" max="6405" width="7.42578125" bestFit="1" customWidth="1"/>
    <col min="6406" max="6406" width="13.85546875" bestFit="1" customWidth="1"/>
    <col min="6407" max="6407" width="9.28515625" bestFit="1" customWidth="1"/>
    <col min="6657" max="6657" width="22.85546875" customWidth="1"/>
    <col min="6658" max="6658" width="14.140625" bestFit="1" customWidth="1"/>
    <col min="6659" max="6659" width="7.42578125" bestFit="1" customWidth="1"/>
    <col min="6660" max="6660" width="14.85546875" bestFit="1" customWidth="1"/>
    <col min="6661" max="6661" width="7.42578125" bestFit="1" customWidth="1"/>
    <col min="6662" max="6662" width="13.85546875" bestFit="1" customWidth="1"/>
    <col min="6663" max="6663" width="9.28515625" bestFit="1" customWidth="1"/>
    <col min="6913" max="6913" width="22.85546875" customWidth="1"/>
    <col min="6914" max="6914" width="14.140625" bestFit="1" customWidth="1"/>
    <col min="6915" max="6915" width="7.42578125" bestFit="1" customWidth="1"/>
    <col min="6916" max="6916" width="14.85546875" bestFit="1" customWidth="1"/>
    <col min="6917" max="6917" width="7.42578125" bestFit="1" customWidth="1"/>
    <col min="6918" max="6918" width="13.85546875" bestFit="1" customWidth="1"/>
    <col min="6919" max="6919" width="9.28515625" bestFit="1" customWidth="1"/>
    <col min="7169" max="7169" width="22.85546875" customWidth="1"/>
    <col min="7170" max="7170" width="14.140625" bestFit="1" customWidth="1"/>
    <col min="7171" max="7171" width="7.42578125" bestFit="1" customWidth="1"/>
    <col min="7172" max="7172" width="14.85546875" bestFit="1" customWidth="1"/>
    <col min="7173" max="7173" width="7.42578125" bestFit="1" customWidth="1"/>
    <col min="7174" max="7174" width="13.85546875" bestFit="1" customWidth="1"/>
    <col min="7175" max="7175" width="9.28515625" bestFit="1" customWidth="1"/>
    <col min="7425" max="7425" width="22.85546875" customWidth="1"/>
    <col min="7426" max="7426" width="14.140625" bestFit="1" customWidth="1"/>
    <col min="7427" max="7427" width="7.42578125" bestFit="1" customWidth="1"/>
    <col min="7428" max="7428" width="14.85546875" bestFit="1" customWidth="1"/>
    <col min="7429" max="7429" width="7.42578125" bestFit="1" customWidth="1"/>
    <col min="7430" max="7430" width="13.85546875" bestFit="1" customWidth="1"/>
    <col min="7431" max="7431" width="9.28515625" bestFit="1" customWidth="1"/>
    <col min="7681" max="7681" width="22.85546875" customWidth="1"/>
    <col min="7682" max="7682" width="14.140625" bestFit="1" customWidth="1"/>
    <col min="7683" max="7683" width="7.42578125" bestFit="1" customWidth="1"/>
    <col min="7684" max="7684" width="14.85546875" bestFit="1" customWidth="1"/>
    <col min="7685" max="7685" width="7.42578125" bestFit="1" customWidth="1"/>
    <col min="7686" max="7686" width="13.85546875" bestFit="1" customWidth="1"/>
    <col min="7687" max="7687" width="9.28515625" bestFit="1" customWidth="1"/>
    <col min="7937" max="7937" width="22.85546875" customWidth="1"/>
    <col min="7938" max="7938" width="14.140625" bestFit="1" customWidth="1"/>
    <col min="7939" max="7939" width="7.42578125" bestFit="1" customWidth="1"/>
    <col min="7940" max="7940" width="14.85546875" bestFit="1" customWidth="1"/>
    <col min="7941" max="7941" width="7.42578125" bestFit="1" customWidth="1"/>
    <col min="7942" max="7942" width="13.85546875" bestFit="1" customWidth="1"/>
    <col min="7943" max="7943" width="9.28515625" bestFit="1" customWidth="1"/>
    <col min="8193" max="8193" width="22.85546875" customWidth="1"/>
    <col min="8194" max="8194" width="14.140625" bestFit="1" customWidth="1"/>
    <col min="8195" max="8195" width="7.42578125" bestFit="1" customWidth="1"/>
    <col min="8196" max="8196" width="14.85546875" bestFit="1" customWidth="1"/>
    <col min="8197" max="8197" width="7.42578125" bestFit="1" customWidth="1"/>
    <col min="8198" max="8198" width="13.85546875" bestFit="1" customWidth="1"/>
    <col min="8199" max="8199" width="9.28515625" bestFit="1" customWidth="1"/>
    <col min="8449" max="8449" width="22.85546875" customWidth="1"/>
    <col min="8450" max="8450" width="14.140625" bestFit="1" customWidth="1"/>
    <col min="8451" max="8451" width="7.42578125" bestFit="1" customWidth="1"/>
    <col min="8452" max="8452" width="14.85546875" bestFit="1" customWidth="1"/>
    <col min="8453" max="8453" width="7.42578125" bestFit="1" customWidth="1"/>
    <col min="8454" max="8454" width="13.85546875" bestFit="1" customWidth="1"/>
    <col min="8455" max="8455" width="9.28515625" bestFit="1" customWidth="1"/>
    <col min="8705" max="8705" width="22.85546875" customWidth="1"/>
    <col min="8706" max="8706" width="14.140625" bestFit="1" customWidth="1"/>
    <col min="8707" max="8707" width="7.42578125" bestFit="1" customWidth="1"/>
    <col min="8708" max="8708" width="14.85546875" bestFit="1" customWidth="1"/>
    <col min="8709" max="8709" width="7.42578125" bestFit="1" customWidth="1"/>
    <col min="8710" max="8710" width="13.85546875" bestFit="1" customWidth="1"/>
    <col min="8711" max="8711" width="9.28515625" bestFit="1" customWidth="1"/>
    <col min="8961" max="8961" width="22.85546875" customWidth="1"/>
    <col min="8962" max="8962" width="14.140625" bestFit="1" customWidth="1"/>
    <col min="8963" max="8963" width="7.42578125" bestFit="1" customWidth="1"/>
    <col min="8964" max="8964" width="14.85546875" bestFit="1" customWidth="1"/>
    <col min="8965" max="8965" width="7.42578125" bestFit="1" customWidth="1"/>
    <col min="8966" max="8966" width="13.85546875" bestFit="1" customWidth="1"/>
    <col min="8967" max="8967" width="9.28515625" bestFit="1" customWidth="1"/>
    <col min="9217" max="9217" width="22.85546875" customWidth="1"/>
    <col min="9218" max="9218" width="14.140625" bestFit="1" customWidth="1"/>
    <col min="9219" max="9219" width="7.42578125" bestFit="1" customWidth="1"/>
    <col min="9220" max="9220" width="14.85546875" bestFit="1" customWidth="1"/>
    <col min="9221" max="9221" width="7.42578125" bestFit="1" customWidth="1"/>
    <col min="9222" max="9222" width="13.85546875" bestFit="1" customWidth="1"/>
    <col min="9223" max="9223" width="9.28515625" bestFit="1" customWidth="1"/>
    <col min="9473" max="9473" width="22.85546875" customWidth="1"/>
    <col min="9474" max="9474" width="14.140625" bestFit="1" customWidth="1"/>
    <col min="9475" max="9475" width="7.42578125" bestFit="1" customWidth="1"/>
    <col min="9476" max="9476" width="14.85546875" bestFit="1" customWidth="1"/>
    <col min="9477" max="9477" width="7.42578125" bestFit="1" customWidth="1"/>
    <col min="9478" max="9478" width="13.85546875" bestFit="1" customWidth="1"/>
    <col min="9479" max="9479" width="9.28515625" bestFit="1" customWidth="1"/>
    <col min="9729" max="9729" width="22.85546875" customWidth="1"/>
    <col min="9730" max="9730" width="14.140625" bestFit="1" customWidth="1"/>
    <col min="9731" max="9731" width="7.42578125" bestFit="1" customWidth="1"/>
    <col min="9732" max="9732" width="14.85546875" bestFit="1" customWidth="1"/>
    <col min="9733" max="9733" width="7.42578125" bestFit="1" customWidth="1"/>
    <col min="9734" max="9734" width="13.85546875" bestFit="1" customWidth="1"/>
    <col min="9735" max="9735" width="9.28515625" bestFit="1" customWidth="1"/>
    <col min="9985" max="9985" width="22.85546875" customWidth="1"/>
    <col min="9986" max="9986" width="14.140625" bestFit="1" customWidth="1"/>
    <col min="9987" max="9987" width="7.42578125" bestFit="1" customWidth="1"/>
    <col min="9988" max="9988" width="14.85546875" bestFit="1" customWidth="1"/>
    <col min="9989" max="9989" width="7.42578125" bestFit="1" customWidth="1"/>
    <col min="9990" max="9990" width="13.85546875" bestFit="1" customWidth="1"/>
    <col min="9991" max="9991" width="9.28515625" bestFit="1" customWidth="1"/>
    <col min="10241" max="10241" width="22.85546875" customWidth="1"/>
    <col min="10242" max="10242" width="14.140625" bestFit="1" customWidth="1"/>
    <col min="10243" max="10243" width="7.42578125" bestFit="1" customWidth="1"/>
    <col min="10244" max="10244" width="14.85546875" bestFit="1" customWidth="1"/>
    <col min="10245" max="10245" width="7.42578125" bestFit="1" customWidth="1"/>
    <col min="10246" max="10246" width="13.85546875" bestFit="1" customWidth="1"/>
    <col min="10247" max="10247" width="9.28515625" bestFit="1" customWidth="1"/>
    <col min="10497" max="10497" width="22.85546875" customWidth="1"/>
    <col min="10498" max="10498" width="14.140625" bestFit="1" customWidth="1"/>
    <col min="10499" max="10499" width="7.42578125" bestFit="1" customWidth="1"/>
    <col min="10500" max="10500" width="14.85546875" bestFit="1" customWidth="1"/>
    <col min="10501" max="10501" width="7.42578125" bestFit="1" customWidth="1"/>
    <col min="10502" max="10502" width="13.85546875" bestFit="1" customWidth="1"/>
    <col min="10503" max="10503" width="9.28515625" bestFit="1" customWidth="1"/>
    <col min="10753" max="10753" width="22.85546875" customWidth="1"/>
    <col min="10754" max="10754" width="14.140625" bestFit="1" customWidth="1"/>
    <col min="10755" max="10755" width="7.42578125" bestFit="1" customWidth="1"/>
    <col min="10756" max="10756" width="14.85546875" bestFit="1" customWidth="1"/>
    <col min="10757" max="10757" width="7.42578125" bestFit="1" customWidth="1"/>
    <col min="10758" max="10758" width="13.85546875" bestFit="1" customWidth="1"/>
    <col min="10759" max="10759" width="9.28515625" bestFit="1" customWidth="1"/>
    <col min="11009" max="11009" width="22.85546875" customWidth="1"/>
    <col min="11010" max="11010" width="14.140625" bestFit="1" customWidth="1"/>
    <col min="11011" max="11011" width="7.42578125" bestFit="1" customWidth="1"/>
    <col min="11012" max="11012" width="14.85546875" bestFit="1" customWidth="1"/>
    <col min="11013" max="11013" width="7.42578125" bestFit="1" customWidth="1"/>
    <col min="11014" max="11014" width="13.85546875" bestFit="1" customWidth="1"/>
    <col min="11015" max="11015" width="9.28515625" bestFit="1" customWidth="1"/>
    <col min="11265" max="11265" width="22.85546875" customWidth="1"/>
    <col min="11266" max="11266" width="14.140625" bestFit="1" customWidth="1"/>
    <col min="11267" max="11267" width="7.42578125" bestFit="1" customWidth="1"/>
    <col min="11268" max="11268" width="14.85546875" bestFit="1" customWidth="1"/>
    <col min="11269" max="11269" width="7.42578125" bestFit="1" customWidth="1"/>
    <col min="11270" max="11270" width="13.85546875" bestFit="1" customWidth="1"/>
    <col min="11271" max="11271" width="9.28515625" bestFit="1" customWidth="1"/>
    <col min="11521" max="11521" width="22.85546875" customWidth="1"/>
    <col min="11522" max="11522" width="14.140625" bestFit="1" customWidth="1"/>
    <col min="11523" max="11523" width="7.42578125" bestFit="1" customWidth="1"/>
    <col min="11524" max="11524" width="14.85546875" bestFit="1" customWidth="1"/>
    <col min="11525" max="11525" width="7.42578125" bestFit="1" customWidth="1"/>
    <col min="11526" max="11526" width="13.85546875" bestFit="1" customWidth="1"/>
    <col min="11527" max="11527" width="9.28515625" bestFit="1" customWidth="1"/>
    <col min="11777" max="11777" width="22.85546875" customWidth="1"/>
    <col min="11778" max="11778" width="14.140625" bestFit="1" customWidth="1"/>
    <col min="11779" max="11779" width="7.42578125" bestFit="1" customWidth="1"/>
    <col min="11780" max="11780" width="14.85546875" bestFit="1" customWidth="1"/>
    <col min="11781" max="11781" width="7.42578125" bestFit="1" customWidth="1"/>
    <col min="11782" max="11782" width="13.85546875" bestFit="1" customWidth="1"/>
    <col min="11783" max="11783" width="9.28515625" bestFit="1" customWidth="1"/>
    <col min="12033" max="12033" width="22.85546875" customWidth="1"/>
    <col min="12034" max="12034" width="14.140625" bestFit="1" customWidth="1"/>
    <col min="12035" max="12035" width="7.42578125" bestFit="1" customWidth="1"/>
    <col min="12036" max="12036" width="14.85546875" bestFit="1" customWidth="1"/>
    <col min="12037" max="12037" width="7.42578125" bestFit="1" customWidth="1"/>
    <col min="12038" max="12038" width="13.85546875" bestFit="1" customWidth="1"/>
    <col min="12039" max="12039" width="9.28515625" bestFit="1" customWidth="1"/>
    <col min="12289" max="12289" width="22.85546875" customWidth="1"/>
    <col min="12290" max="12290" width="14.140625" bestFit="1" customWidth="1"/>
    <col min="12291" max="12291" width="7.42578125" bestFit="1" customWidth="1"/>
    <col min="12292" max="12292" width="14.85546875" bestFit="1" customWidth="1"/>
    <col min="12293" max="12293" width="7.42578125" bestFit="1" customWidth="1"/>
    <col min="12294" max="12294" width="13.85546875" bestFit="1" customWidth="1"/>
    <col min="12295" max="12295" width="9.28515625" bestFit="1" customWidth="1"/>
    <col min="12545" max="12545" width="22.85546875" customWidth="1"/>
    <col min="12546" max="12546" width="14.140625" bestFit="1" customWidth="1"/>
    <col min="12547" max="12547" width="7.42578125" bestFit="1" customWidth="1"/>
    <col min="12548" max="12548" width="14.85546875" bestFit="1" customWidth="1"/>
    <col min="12549" max="12549" width="7.42578125" bestFit="1" customWidth="1"/>
    <col min="12550" max="12550" width="13.85546875" bestFit="1" customWidth="1"/>
    <col min="12551" max="12551" width="9.28515625" bestFit="1" customWidth="1"/>
    <col min="12801" max="12801" width="22.85546875" customWidth="1"/>
    <col min="12802" max="12802" width="14.140625" bestFit="1" customWidth="1"/>
    <col min="12803" max="12803" width="7.42578125" bestFit="1" customWidth="1"/>
    <col min="12804" max="12804" width="14.85546875" bestFit="1" customWidth="1"/>
    <col min="12805" max="12805" width="7.42578125" bestFit="1" customWidth="1"/>
    <col min="12806" max="12806" width="13.85546875" bestFit="1" customWidth="1"/>
    <col min="12807" max="12807" width="9.28515625" bestFit="1" customWidth="1"/>
    <col min="13057" max="13057" width="22.85546875" customWidth="1"/>
    <col min="13058" max="13058" width="14.140625" bestFit="1" customWidth="1"/>
    <col min="13059" max="13059" width="7.42578125" bestFit="1" customWidth="1"/>
    <col min="13060" max="13060" width="14.85546875" bestFit="1" customWidth="1"/>
    <col min="13061" max="13061" width="7.42578125" bestFit="1" customWidth="1"/>
    <col min="13062" max="13062" width="13.85546875" bestFit="1" customWidth="1"/>
    <col min="13063" max="13063" width="9.28515625" bestFit="1" customWidth="1"/>
    <col min="13313" max="13313" width="22.85546875" customWidth="1"/>
    <col min="13314" max="13314" width="14.140625" bestFit="1" customWidth="1"/>
    <col min="13315" max="13315" width="7.42578125" bestFit="1" customWidth="1"/>
    <col min="13316" max="13316" width="14.85546875" bestFit="1" customWidth="1"/>
    <col min="13317" max="13317" width="7.42578125" bestFit="1" customWidth="1"/>
    <col min="13318" max="13318" width="13.85546875" bestFit="1" customWidth="1"/>
    <col min="13319" max="13319" width="9.28515625" bestFit="1" customWidth="1"/>
    <col min="13569" max="13569" width="22.85546875" customWidth="1"/>
    <col min="13570" max="13570" width="14.140625" bestFit="1" customWidth="1"/>
    <col min="13571" max="13571" width="7.42578125" bestFit="1" customWidth="1"/>
    <col min="13572" max="13572" width="14.85546875" bestFit="1" customWidth="1"/>
    <col min="13573" max="13573" width="7.42578125" bestFit="1" customWidth="1"/>
    <col min="13574" max="13574" width="13.85546875" bestFit="1" customWidth="1"/>
    <col min="13575" max="13575" width="9.28515625" bestFit="1" customWidth="1"/>
    <col min="13825" max="13825" width="22.85546875" customWidth="1"/>
    <col min="13826" max="13826" width="14.140625" bestFit="1" customWidth="1"/>
    <col min="13827" max="13827" width="7.42578125" bestFit="1" customWidth="1"/>
    <col min="13828" max="13828" width="14.85546875" bestFit="1" customWidth="1"/>
    <col min="13829" max="13829" width="7.42578125" bestFit="1" customWidth="1"/>
    <col min="13830" max="13830" width="13.85546875" bestFit="1" customWidth="1"/>
    <col min="13831" max="13831" width="9.28515625" bestFit="1" customWidth="1"/>
    <col min="14081" max="14081" width="22.85546875" customWidth="1"/>
    <col min="14082" max="14082" width="14.140625" bestFit="1" customWidth="1"/>
    <col min="14083" max="14083" width="7.42578125" bestFit="1" customWidth="1"/>
    <col min="14084" max="14084" width="14.85546875" bestFit="1" customWidth="1"/>
    <col min="14085" max="14085" width="7.42578125" bestFit="1" customWidth="1"/>
    <col min="14086" max="14086" width="13.85546875" bestFit="1" customWidth="1"/>
    <col min="14087" max="14087" width="9.28515625" bestFit="1" customWidth="1"/>
    <col min="14337" max="14337" width="22.85546875" customWidth="1"/>
    <col min="14338" max="14338" width="14.140625" bestFit="1" customWidth="1"/>
    <col min="14339" max="14339" width="7.42578125" bestFit="1" customWidth="1"/>
    <col min="14340" max="14340" width="14.85546875" bestFit="1" customWidth="1"/>
    <col min="14341" max="14341" width="7.42578125" bestFit="1" customWidth="1"/>
    <col min="14342" max="14342" width="13.85546875" bestFit="1" customWidth="1"/>
    <col min="14343" max="14343" width="9.28515625" bestFit="1" customWidth="1"/>
    <col min="14593" max="14593" width="22.85546875" customWidth="1"/>
    <col min="14594" max="14594" width="14.140625" bestFit="1" customWidth="1"/>
    <col min="14595" max="14595" width="7.42578125" bestFit="1" customWidth="1"/>
    <col min="14596" max="14596" width="14.85546875" bestFit="1" customWidth="1"/>
    <col min="14597" max="14597" width="7.42578125" bestFit="1" customWidth="1"/>
    <col min="14598" max="14598" width="13.85546875" bestFit="1" customWidth="1"/>
    <col min="14599" max="14599" width="9.28515625" bestFit="1" customWidth="1"/>
    <col min="14849" max="14849" width="22.85546875" customWidth="1"/>
    <col min="14850" max="14850" width="14.140625" bestFit="1" customWidth="1"/>
    <col min="14851" max="14851" width="7.42578125" bestFit="1" customWidth="1"/>
    <col min="14852" max="14852" width="14.85546875" bestFit="1" customWidth="1"/>
    <col min="14853" max="14853" width="7.42578125" bestFit="1" customWidth="1"/>
    <col min="14854" max="14854" width="13.85546875" bestFit="1" customWidth="1"/>
    <col min="14855" max="14855" width="9.28515625" bestFit="1" customWidth="1"/>
    <col min="15105" max="15105" width="22.85546875" customWidth="1"/>
    <col min="15106" max="15106" width="14.140625" bestFit="1" customWidth="1"/>
    <col min="15107" max="15107" width="7.42578125" bestFit="1" customWidth="1"/>
    <col min="15108" max="15108" width="14.85546875" bestFit="1" customWidth="1"/>
    <col min="15109" max="15109" width="7.42578125" bestFit="1" customWidth="1"/>
    <col min="15110" max="15110" width="13.85546875" bestFit="1" customWidth="1"/>
    <col min="15111" max="15111" width="9.28515625" bestFit="1" customWidth="1"/>
    <col min="15361" max="15361" width="22.85546875" customWidth="1"/>
    <col min="15362" max="15362" width="14.140625" bestFit="1" customWidth="1"/>
    <col min="15363" max="15363" width="7.42578125" bestFit="1" customWidth="1"/>
    <col min="15364" max="15364" width="14.85546875" bestFit="1" customWidth="1"/>
    <col min="15365" max="15365" width="7.42578125" bestFit="1" customWidth="1"/>
    <col min="15366" max="15366" width="13.85546875" bestFit="1" customWidth="1"/>
    <col min="15367" max="15367" width="9.28515625" bestFit="1" customWidth="1"/>
    <col min="15617" max="15617" width="22.85546875" customWidth="1"/>
    <col min="15618" max="15618" width="14.140625" bestFit="1" customWidth="1"/>
    <col min="15619" max="15619" width="7.42578125" bestFit="1" customWidth="1"/>
    <col min="15620" max="15620" width="14.85546875" bestFit="1" customWidth="1"/>
    <col min="15621" max="15621" width="7.42578125" bestFit="1" customWidth="1"/>
    <col min="15622" max="15622" width="13.85546875" bestFit="1" customWidth="1"/>
    <col min="15623" max="15623" width="9.28515625" bestFit="1" customWidth="1"/>
    <col min="15873" max="15873" width="22.85546875" customWidth="1"/>
    <col min="15874" max="15874" width="14.140625" bestFit="1" customWidth="1"/>
    <col min="15875" max="15875" width="7.42578125" bestFit="1" customWidth="1"/>
    <col min="15876" max="15876" width="14.85546875" bestFit="1" customWidth="1"/>
    <col min="15877" max="15877" width="7.42578125" bestFit="1" customWidth="1"/>
    <col min="15878" max="15878" width="13.85546875" bestFit="1" customWidth="1"/>
    <col min="15879" max="15879" width="9.28515625" bestFit="1" customWidth="1"/>
    <col min="16129" max="16129" width="22.85546875" customWidth="1"/>
    <col min="16130" max="16130" width="14.140625" bestFit="1" customWidth="1"/>
    <col min="16131" max="16131" width="7.42578125" bestFit="1" customWidth="1"/>
    <col min="16132" max="16132" width="14.85546875" bestFit="1" customWidth="1"/>
    <col min="16133" max="16133" width="7.42578125" bestFit="1" customWidth="1"/>
    <col min="16134" max="16134" width="13.85546875" bestFit="1" customWidth="1"/>
    <col min="16135" max="16135" width="9.28515625" bestFit="1" customWidth="1"/>
  </cols>
  <sheetData>
    <row r="1" spans="1:7">
      <c r="A1" s="1" t="s">
        <v>297</v>
      </c>
      <c r="B1" s="1"/>
      <c r="C1" s="1"/>
      <c r="D1" s="1"/>
      <c r="E1" s="1"/>
      <c r="F1" s="1"/>
      <c r="G1" s="1"/>
    </row>
    <row r="2" spans="1:7" ht="15.75">
      <c r="A2" s="461" t="s">
        <v>295</v>
      </c>
      <c r="B2" s="462"/>
      <c r="C2" s="462"/>
      <c r="D2" s="462"/>
      <c r="E2" s="462"/>
      <c r="F2" s="462"/>
      <c r="G2" s="463"/>
    </row>
    <row r="3" spans="1:7">
      <c r="A3" s="446" t="s">
        <v>0</v>
      </c>
      <c r="B3" s="447"/>
      <c r="C3" s="447"/>
      <c r="D3" s="447"/>
      <c r="E3" s="447"/>
      <c r="F3" s="447"/>
      <c r="G3" s="448"/>
    </row>
    <row r="4" spans="1:7">
      <c r="A4" s="464" t="s">
        <v>159</v>
      </c>
      <c r="B4" s="465"/>
      <c r="C4" s="465"/>
      <c r="D4" s="465"/>
      <c r="E4" s="465"/>
      <c r="F4" s="465"/>
      <c r="G4" s="466"/>
    </row>
    <row r="5" spans="1:7">
      <c r="A5" s="446" t="s">
        <v>155</v>
      </c>
      <c r="B5" s="447"/>
      <c r="C5" s="447"/>
      <c r="D5" s="447"/>
      <c r="E5" s="447"/>
      <c r="F5" s="447"/>
      <c r="G5" s="448"/>
    </row>
    <row r="6" spans="1:7" hidden="1">
      <c r="A6" s="446" t="s">
        <v>2</v>
      </c>
      <c r="B6" s="447"/>
      <c r="C6" s="447"/>
      <c r="D6" s="447"/>
      <c r="E6" s="447"/>
      <c r="F6" s="447"/>
      <c r="G6" s="448"/>
    </row>
    <row r="7" spans="1:7">
      <c r="A7" s="446"/>
      <c r="B7" s="447"/>
      <c r="C7" s="447"/>
      <c r="D7" s="447"/>
      <c r="E7" s="447"/>
      <c r="F7" s="447"/>
      <c r="G7" s="448"/>
    </row>
    <row r="8" spans="1:7" ht="15.75">
      <c r="A8" s="449" t="s">
        <v>3</v>
      </c>
      <c r="B8" s="450"/>
      <c r="C8" s="2"/>
      <c r="D8" s="2"/>
      <c r="E8" s="2"/>
      <c r="F8" s="451">
        <v>1</v>
      </c>
      <c r="G8" s="452"/>
    </row>
    <row r="9" spans="1:7">
      <c r="A9" s="453" t="s">
        <v>4</v>
      </c>
      <c r="B9" s="3" t="s">
        <v>5</v>
      </c>
      <c r="C9" s="456" t="s">
        <v>6</v>
      </c>
      <c r="D9" s="3" t="s">
        <v>7</v>
      </c>
      <c r="E9" s="456" t="s">
        <v>6</v>
      </c>
      <c r="F9" s="459" t="s">
        <v>8</v>
      </c>
      <c r="G9" s="460"/>
    </row>
    <row r="10" spans="1:7">
      <c r="A10" s="454"/>
      <c r="B10" s="4">
        <v>2020</v>
      </c>
      <c r="C10" s="457"/>
      <c r="D10" s="4">
        <v>2020</v>
      </c>
      <c r="E10" s="457"/>
      <c r="F10" s="5" t="s">
        <v>9</v>
      </c>
      <c r="G10" s="4" t="s">
        <v>10</v>
      </c>
    </row>
    <row r="11" spans="1:7">
      <c r="A11" s="455"/>
      <c r="B11" s="6" t="s">
        <v>11</v>
      </c>
      <c r="C11" s="458"/>
      <c r="D11" s="6" t="s">
        <v>12</v>
      </c>
      <c r="E11" s="458"/>
      <c r="F11" s="7" t="s">
        <v>13</v>
      </c>
      <c r="G11" s="8" t="s">
        <v>14</v>
      </c>
    </row>
    <row r="12" spans="1:7" ht="15.75">
      <c r="A12" s="9" t="s">
        <v>15</v>
      </c>
      <c r="B12" s="10">
        <v>140145926.41999999</v>
      </c>
      <c r="C12" s="11">
        <f>B12/$B$21</f>
        <v>7.2430578541526685E-4</v>
      </c>
      <c r="D12" s="10">
        <f>123865799.9</f>
        <v>123865799.90000001</v>
      </c>
      <c r="E12" s="11">
        <f>D12/$D$21</f>
        <v>6.4016641635226631E-4</v>
      </c>
      <c r="F12" s="12">
        <f>D12-B12</f>
        <v>-16280126.519999981</v>
      </c>
      <c r="G12" s="13">
        <f>F12/$F$21</f>
        <v>-8.4139369063000567E-5</v>
      </c>
    </row>
    <row r="13" spans="1:7" ht="15.75">
      <c r="A13" s="9" t="s">
        <v>16</v>
      </c>
      <c r="B13" s="10">
        <f>140145926.42-(438100+16944770.93+2573950.29+5999690.06)</f>
        <v>114189415.13999999</v>
      </c>
      <c r="C13" s="11">
        <f t="shared" ref="C13:C18" si="0">B13/$B$21</f>
        <v>5.9015667548710515E-4</v>
      </c>
      <c r="D13" s="10">
        <f>123865799.9-(49239.41+11424304.28+837429.07+3291622.6)</f>
        <v>108263204.54000001</v>
      </c>
      <c r="E13" s="11">
        <f>D13/$D$21</f>
        <v>5.595286812755181E-4</v>
      </c>
      <c r="F13" s="12">
        <f>B13-D13</f>
        <v>5926210.5999999791</v>
      </c>
      <c r="G13" s="13">
        <f t="shared" ref="G13:G18" si="1">F13/$F$21</f>
        <v>3.0627994211587057E-5</v>
      </c>
    </row>
    <row r="14" spans="1:7" ht="15.75">
      <c r="A14" s="9" t="s">
        <v>17</v>
      </c>
      <c r="B14" s="10">
        <f>143664271.32</f>
        <v>143664271.31999999</v>
      </c>
      <c r="C14" s="11">
        <f t="shared" si="0"/>
        <v>7.4248938611814563E-4</v>
      </c>
      <c r="D14" s="10">
        <f>125850237.4</f>
        <v>125850237.40000001</v>
      </c>
      <c r="E14" s="11">
        <f t="shared" ref="E14:E18" si="2">D14/$D$21</f>
        <v>6.5042243733526284E-4</v>
      </c>
      <c r="F14" s="12">
        <f>B14-D14</f>
        <v>17814033.919999987</v>
      </c>
      <c r="G14" s="13">
        <f t="shared" si="1"/>
        <v>9.2066948782882767E-5</v>
      </c>
    </row>
    <row r="15" spans="1:7" ht="15.75">
      <c r="A15" s="9" t="s">
        <v>18</v>
      </c>
      <c r="B15" s="10">
        <f>143664271.32-(17504219.02+117314.6+10011+10346467.38)</f>
        <v>115686259.31999999</v>
      </c>
      <c r="C15" s="11">
        <f t="shared" si="0"/>
        <v>5.9789270411907591E-4</v>
      </c>
      <c r="D15" s="10">
        <f>125850237.4-(16743362.48+78892.41+6959530.71)</f>
        <v>102068451.80000001</v>
      </c>
      <c r="E15" s="11">
        <f t="shared" si="2"/>
        <v>5.2751280066153301E-4</v>
      </c>
      <c r="F15" s="12">
        <f>B15-D15</f>
        <v>13617807.519999981</v>
      </c>
      <c r="G15" s="13">
        <f t="shared" si="1"/>
        <v>7.037990345754292E-5</v>
      </c>
    </row>
    <row r="16" spans="1:7" ht="15.75">
      <c r="A16" s="9" t="s">
        <v>19</v>
      </c>
      <c r="B16" s="10">
        <f>B13-B15</f>
        <v>-1496844.1800000072</v>
      </c>
      <c r="C16" s="11">
        <f t="shared" si="0"/>
        <v>-7.7360286319706806E-6</v>
      </c>
      <c r="D16" s="10">
        <f>D13-D15</f>
        <v>6194752.7399999946</v>
      </c>
      <c r="E16" s="11">
        <f t="shared" si="2"/>
        <v>3.2015880613985193E-5</v>
      </c>
      <c r="F16" s="10">
        <f>F13+F15</f>
        <v>19544018.11999996</v>
      </c>
      <c r="G16" s="13">
        <f t="shared" si="1"/>
        <v>1.0100789766912998E-4</v>
      </c>
    </row>
    <row r="17" spans="1:11" ht="15.75">
      <c r="A17" s="153" t="s">
        <v>120</v>
      </c>
      <c r="B17" s="10">
        <v>3902834.56</v>
      </c>
      <c r="C17" s="11">
        <f t="shared" si="0"/>
        <v>2.0170730063569178E-5</v>
      </c>
      <c r="D17" s="10">
        <v>3050261.47</v>
      </c>
      <c r="E17" s="11">
        <f t="shared" si="2"/>
        <v>1.576443986769342E-5</v>
      </c>
      <c r="F17" s="12">
        <f>B17-D17</f>
        <v>852573.08999999985</v>
      </c>
      <c r="G17" s="13">
        <f t="shared" si="1"/>
        <v>4.4062901958757547E-6</v>
      </c>
    </row>
    <row r="18" spans="1:11" ht="15.75">
      <c r="A18" s="9" t="s">
        <v>21</v>
      </c>
      <c r="B18" s="10">
        <v>4060309.7</v>
      </c>
      <c r="C18" s="11">
        <f t="shared" si="0"/>
        <v>2.0984597136802937E-5</v>
      </c>
      <c r="D18" s="10">
        <v>1037906.48</v>
      </c>
      <c r="E18" s="11">
        <f t="shared" si="2"/>
        <v>5.36413499405654E-6</v>
      </c>
      <c r="F18" s="12">
        <f>B18-D18</f>
        <v>3022403.22</v>
      </c>
      <c r="G18" s="13">
        <f t="shared" si="1"/>
        <v>1.5620462142746397E-5</v>
      </c>
    </row>
    <row r="19" spans="1:11" ht="15.75">
      <c r="A19" s="14" t="s">
        <v>22</v>
      </c>
      <c r="B19" s="15">
        <v>3471813.37</v>
      </c>
      <c r="C19" s="11">
        <f>B19/$B$21</f>
        <v>1.7943115251434184E-5</v>
      </c>
      <c r="D19" s="15">
        <v>1037906.48</v>
      </c>
      <c r="E19" s="11">
        <f>D19/$D$21</f>
        <v>5.36413499405654E-6</v>
      </c>
      <c r="F19" s="12">
        <f>B19-D19</f>
        <v>2433906.89</v>
      </c>
      <c r="G19" s="13">
        <f>F19/$F$21</f>
        <v>1.2578980257377644E-5</v>
      </c>
    </row>
    <row r="20" spans="1:11">
      <c r="A20" s="445" t="s">
        <v>122</v>
      </c>
      <c r="B20" s="445"/>
      <c r="C20" s="445"/>
      <c r="D20" s="445"/>
      <c r="E20" s="445"/>
      <c r="F20" s="445"/>
      <c r="G20" s="445"/>
    </row>
    <row r="21" spans="1:11">
      <c r="A21" s="16" t="s">
        <v>23</v>
      </c>
      <c r="B21" s="17">
        <v>193490000000</v>
      </c>
      <c r="D21" s="17">
        <v>193490000000</v>
      </c>
      <c r="F21" s="17">
        <v>193490000000</v>
      </c>
    </row>
    <row r="22" spans="1:11">
      <c r="A22" s="16"/>
      <c r="D22" s="36"/>
    </row>
    <row r="23" spans="1:11">
      <c r="A23" s="16"/>
    </row>
    <row r="24" spans="1:11">
      <c r="A24" s="16"/>
    </row>
    <row r="26" spans="1:11">
      <c r="A26" s="18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18" t="s">
        <v>24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30" spans="1:11">
      <c r="A30" s="18" t="s">
        <v>119</v>
      </c>
    </row>
    <row r="31" spans="1:11">
      <c r="A31" s="152" t="s">
        <v>127</v>
      </c>
    </row>
    <row r="32" spans="1:11">
      <c r="A32" s="18" t="s">
        <v>121</v>
      </c>
    </row>
  </sheetData>
  <mergeCells count="13">
    <mergeCell ref="A6:G6"/>
    <mergeCell ref="A2:G2"/>
    <mergeCell ref="A3:G3"/>
    <mergeCell ref="A4:G4"/>
    <mergeCell ref="A5:G5"/>
    <mergeCell ref="A20:G20"/>
    <mergeCell ref="A7:G7"/>
    <mergeCell ref="A8:B8"/>
    <mergeCell ref="F8:G8"/>
    <mergeCell ref="A9:A11"/>
    <mergeCell ref="C9:C11"/>
    <mergeCell ref="E9:E11"/>
    <mergeCell ref="F9:G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workbookViewId="0">
      <selection activeCell="A34" sqref="A34"/>
    </sheetView>
  </sheetViews>
  <sheetFormatPr defaultRowHeight="11.25"/>
  <cols>
    <col min="1" max="1" width="20.140625" style="152" customWidth="1"/>
    <col min="2" max="3" width="12.85546875" style="152" bestFit="1" customWidth="1"/>
    <col min="4" max="4" width="7.140625" style="152" bestFit="1" customWidth="1"/>
    <col min="5" max="5" width="12.85546875" style="152" bestFit="1" customWidth="1"/>
    <col min="6" max="6" width="6.42578125" style="152" bestFit="1" customWidth="1"/>
    <col min="7" max="7" width="12.85546875" style="152" bestFit="1" customWidth="1"/>
    <col min="8" max="8" width="8.28515625" style="152" bestFit="1" customWidth="1"/>
    <col min="9" max="9" width="13.140625" style="152" customWidth="1"/>
    <col min="10" max="10" width="8.7109375" style="152" customWidth="1"/>
    <col min="11" max="11" width="12.85546875" style="152" bestFit="1" customWidth="1"/>
    <col min="12" max="12" width="6.85546875" style="152" bestFit="1" customWidth="1"/>
    <col min="13" max="13" width="9.140625" style="152"/>
    <col min="14" max="14" width="11.7109375" style="152" bestFit="1" customWidth="1"/>
    <col min="15" max="15" width="12" style="152" bestFit="1" customWidth="1"/>
    <col min="16" max="16" width="11.7109375" style="152" bestFit="1" customWidth="1"/>
    <col min="17" max="18" width="10" style="152" bestFit="1" customWidth="1"/>
    <col min="19" max="256" width="9.140625" style="152"/>
    <col min="257" max="257" width="22.7109375" style="152" customWidth="1"/>
    <col min="258" max="258" width="12.5703125" style="152" bestFit="1" customWidth="1"/>
    <col min="259" max="259" width="12" style="152" bestFit="1" customWidth="1"/>
    <col min="260" max="260" width="7.140625" style="152" bestFit="1" customWidth="1"/>
    <col min="261" max="261" width="12" style="152" bestFit="1" customWidth="1"/>
    <col min="262" max="262" width="6.42578125" style="152" bestFit="1" customWidth="1"/>
    <col min="263" max="263" width="12" style="152" bestFit="1" customWidth="1"/>
    <col min="264" max="264" width="8.28515625" style="152" bestFit="1" customWidth="1"/>
    <col min="265" max="265" width="12" style="152" bestFit="1" customWidth="1"/>
    <col min="266" max="266" width="8.7109375" style="152" customWidth="1"/>
    <col min="267" max="267" width="12.5703125" style="152" bestFit="1" customWidth="1"/>
    <col min="268" max="268" width="6.85546875" style="152" bestFit="1" customWidth="1"/>
    <col min="269" max="269" width="9.140625" style="152"/>
    <col min="270" max="270" width="11.7109375" style="152" bestFit="1" customWidth="1"/>
    <col min="271" max="271" width="12" style="152" bestFit="1" customWidth="1"/>
    <col min="272" max="272" width="11.7109375" style="152" bestFit="1" customWidth="1"/>
    <col min="273" max="512" width="9.140625" style="152"/>
    <col min="513" max="513" width="22.7109375" style="152" customWidth="1"/>
    <col min="514" max="514" width="12.5703125" style="152" bestFit="1" customWidth="1"/>
    <col min="515" max="515" width="12" style="152" bestFit="1" customWidth="1"/>
    <col min="516" max="516" width="7.140625" style="152" bestFit="1" customWidth="1"/>
    <col min="517" max="517" width="12" style="152" bestFit="1" customWidth="1"/>
    <col min="518" max="518" width="6.42578125" style="152" bestFit="1" customWidth="1"/>
    <col min="519" max="519" width="12" style="152" bestFit="1" customWidth="1"/>
    <col min="520" max="520" width="8.28515625" style="152" bestFit="1" customWidth="1"/>
    <col min="521" max="521" width="12" style="152" bestFit="1" customWidth="1"/>
    <col min="522" max="522" width="8.7109375" style="152" customWidth="1"/>
    <col min="523" max="523" width="12.5703125" style="152" bestFit="1" customWidth="1"/>
    <col min="524" max="524" width="6.85546875" style="152" bestFit="1" customWidth="1"/>
    <col min="525" max="525" width="9.140625" style="152"/>
    <col min="526" max="526" width="11.7109375" style="152" bestFit="1" customWidth="1"/>
    <col min="527" max="527" width="12" style="152" bestFit="1" customWidth="1"/>
    <col min="528" max="528" width="11.7109375" style="152" bestFit="1" customWidth="1"/>
    <col min="529" max="768" width="9.140625" style="152"/>
    <col min="769" max="769" width="22.7109375" style="152" customWidth="1"/>
    <col min="770" max="770" width="12.5703125" style="152" bestFit="1" customWidth="1"/>
    <col min="771" max="771" width="12" style="152" bestFit="1" customWidth="1"/>
    <col min="772" max="772" width="7.140625" style="152" bestFit="1" customWidth="1"/>
    <col min="773" max="773" width="12" style="152" bestFit="1" customWidth="1"/>
    <col min="774" max="774" width="6.42578125" style="152" bestFit="1" customWidth="1"/>
    <col min="775" max="775" width="12" style="152" bestFit="1" customWidth="1"/>
    <col min="776" max="776" width="8.28515625" style="152" bestFit="1" customWidth="1"/>
    <col min="777" max="777" width="12" style="152" bestFit="1" customWidth="1"/>
    <col min="778" max="778" width="8.7109375" style="152" customWidth="1"/>
    <col min="779" max="779" width="12.5703125" style="152" bestFit="1" customWidth="1"/>
    <col min="780" max="780" width="6.85546875" style="152" bestFit="1" customWidth="1"/>
    <col min="781" max="781" width="9.140625" style="152"/>
    <col min="782" max="782" width="11.7109375" style="152" bestFit="1" customWidth="1"/>
    <col min="783" max="783" width="12" style="152" bestFit="1" customWidth="1"/>
    <col min="784" max="784" width="11.7109375" style="152" bestFit="1" customWidth="1"/>
    <col min="785" max="1024" width="9.140625" style="152"/>
    <col min="1025" max="1025" width="22.7109375" style="152" customWidth="1"/>
    <col min="1026" max="1026" width="12.5703125" style="152" bestFit="1" customWidth="1"/>
    <col min="1027" max="1027" width="12" style="152" bestFit="1" customWidth="1"/>
    <col min="1028" max="1028" width="7.140625" style="152" bestFit="1" customWidth="1"/>
    <col min="1029" max="1029" width="12" style="152" bestFit="1" customWidth="1"/>
    <col min="1030" max="1030" width="6.42578125" style="152" bestFit="1" customWidth="1"/>
    <col min="1031" max="1031" width="12" style="152" bestFit="1" customWidth="1"/>
    <col min="1032" max="1032" width="8.28515625" style="152" bestFit="1" customWidth="1"/>
    <col min="1033" max="1033" width="12" style="152" bestFit="1" customWidth="1"/>
    <col min="1034" max="1034" width="8.7109375" style="152" customWidth="1"/>
    <col min="1035" max="1035" width="12.5703125" style="152" bestFit="1" customWidth="1"/>
    <col min="1036" max="1036" width="6.85546875" style="152" bestFit="1" customWidth="1"/>
    <col min="1037" max="1037" width="9.140625" style="152"/>
    <col min="1038" max="1038" width="11.7109375" style="152" bestFit="1" customWidth="1"/>
    <col min="1039" max="1039" width="12" style="152" bestFit="1" customWidth="1"/>
    <col min="1040" max="1040" width="11.7109375" style="152" bestFit="1" customWidth="1"/>
    <col min="1041" max="1280" width="9.140625" style="152"/>
    <col min="1281" max="1281" width="22.7109375" style="152" customWidth="1"/>
    <col min="1282" max="1282" width="12.5703125" style="152" bestFit="1" customWidth="1"/>
    <col min="1283" max="1283" width="12" style="152" bestFit="1" customWidth="1"/>
    <col min="1284" max="1284" width="7.140625" style="152" bestFit="1" customWidth="1"/>
    <col min="1285" max="1285" width="12" style="152" bestFit="1" customWidth="1"/>
    <col min="1286" max="1286" width="6.42578125" style="152" bestFit="1" customWidth="1"/>
    <col min="1287" max="1287" width="12" style="152" bestFit="1" customWidth="1"/>
    <col min="1288" max="1288" width="8.28515625" style="152" bestFit="1" customWidth="1"/>
    <col min="1289" max="1289" width="12" style="152" bestFit="1" customWidth="1"/>
    <col min="1290" max="1290" width="8.7109375" style="152" customWidth="1"/>
    <col min="1291" max="1291" width="12.5703125" style="152" bestFit="1" customWidth="1"/>
    <col min="1292" max="1292" width="6.85546875" style="152" bestFit="1" customWidth="1"/>
    <col min="1293" max="1293" width="9.140625" style="152"/>
    <col min="1294" max="1294" width="11.7109375" style="152" bestFit="1" customWidth="1"/>
    <col min="1295" max="1295" width="12" style="152" bestFit="1" customWidth="1"/>
    <col min="1296" max="1296" width="11.7109375" style="152" bestFit="1" customWidth="1"/>
    <col min="1297" max="1536" width="9.140625" style="152"/>
    <col min="1537" max="1537" width="22.7109375" style="152" customWidth="1"/>
    <col min="1538" max="1538" width="12.5703125" style="152" bestFit="1" customWidth="1"/>
    <col min="1539" max="1539" width="12" style="152" bestFit="1" customWidth="1"/>
    <col min="1540" max="1540" width="7.140625" style="152" bestFit="1" customWidth="1"/>
    <col min="1541" max="1541" width="12" style="152" bestFit="1" customWidth="1"/>
    <col min="1542" max="1542" width="6.42578125" style="152" bestFit="1" customWidth="1"/>
    <col min="1543" max="1543" width="12" style="152" bestFit="1" customWidth="1"/>
    <col min="1544" max="1544" width="8.28515625" style="152" bestFit="1" customWidth="1"/>
    <col min="1545" max="1545" width="12" style="152" bestFit="1" customWidth="1"/>
    <col min="1546" max="1546" width="8.7109375" style="152" customWidth="1"/>
    <col min="1547" max="1547" width="12.5703125" style="152" bestFit="1" customWidth="1"/>
    <col min="1548" max="1548" width="6.85546875" style="152" bestFit="1" customWidth="1"/>
    <col min="1549" max="1549" width="9.140625" style="152"/>
    <col min="1550" max="1550" width="11.7109375" style="152" bestFit="1" customWidth="1"/>
    <col min="1551" max="1551" width="12" style="152" bestFit="1" customWidth="1"/>
    <col min="1552" max="1552" width="11.7109375" style="152" bestFit="1" customWidth="1"/>
    <col min="1553" max="1792" width="9.140625" style="152"/>
    <col min="1793" max="1793" width="22.7109375" style="152" customWidth="1"/>
    <col min="1794" max="1794" width="12.5703125" style="152" bestFit="1" customWidth="1"/>
    <col min="1795" max="1795" width="12" style="152" bestFit="1" customWidth="1"/>
    <col min="1796" max="1796" width="7.140625" style="152" bestFit="1" customWidth="1"/>
    <col min="1797" max="1797" width="12" style="152" bestFit="1" customWidth="1"/>
    <col min="1798" max="1798" width="6.42578125" style="152" bestFit="1" customWidth="1"/>
    <col min="1799" max="1799" width="12" style="152" bestFit="1" customWidth="1"/>
    <col min="1800" max="1800" width="8.28515625" style="152" bestFit="1" customWidth="1"/>
    <col min="1801" max="1801" width="12" style="152" bestFit="1" customWidth="1"/>
    <col min="1802" max="1802" width="8.7109375" style="152" customWidth="1"/>
    <col min="1803" max="1803" width="12.5703125" style="152" bestFit="1" customWidth="1"/>
    <col min="1804" max="1804" width="6.85546875" style="152" bestFit="1" customWidth="1"/>
    <col min="1805" max="1805" width="9.140625" style="152"/>
    <col min="1806" max="1806" width="11.7109375" style="152" bestFit="1" customWidth="1"/>
    <col min="1807" max="1807" width="12" style="152" bestFit="1" customWidth="1"/>
    <col min="1808" max="1808" width="11.7109375" style="152" bestFit="1" customWidth="1"/>
    <col min="1809" max="2048" width="9.140625" style="152"/>
    <col min="2049" max="2049" width="22.7109375" style="152" customWidth="1"/>
    <col min="2050" max="2050" width="12.5703125" style="152" bestFit="1" customWidth="1"/>
    <col min="2051" max="2051" width="12" style="152" bestFit="1" customWidth="1"/>
    <col min="2052" max="2052" width="7.140625" style="152" bestFit="1" customWidth="1"/>
    <col min="2053" max="2053" width="12" style="152" bestFit="1" customWidth="1"/>
    <col min="2054" max="2054" width="6.42578125" style="152" bestFit="1" customWidth="1"/>
    <col min="2055" max="2055" width="12" style="152" bestFit="1" customWidth="1"/>
    <col min="2056" max="2056" width="8.28515625" style="152" bestFit="1" customWidth="1"/>
    <col min="2057" max="2057" width="12" style="152" bestFit="1" customWidth="1"/>
    <col min="2058" max="2058" width="8.7109375" style="152" customWidth="1"/>
    <col min="2059" max="2059" width="12.5703125" style="152" bestFit="1" customWidth="1"/>
    <col min="2060" max="2060" width="6.85546875" style="152" bestFit="1" customWidth="1"/>
    <col min="2061" max="2061" width="9.140625" style="152"/>
    <col min="2062" max="2062" width="11.7109375" style="152" bestFit="1" customWidth="1"/>
    <col min="2063" max="2063" width="12" style="152" bestFit="1" customWidth="1"/>
    <col min="2064" max="2064" width="11.7109375" style="152" bestFit="1" customWidth="1"/>
    <col min="2065" max="2304" width="9.140625" style="152"/>
    <col min="2305" max="2305" width="22.7109375" style="152" customWidth="1"/>
    <col min="2306" max="2306" width="12.5703125" style="152" bestFit="1" customWidth="1"/>
    <col min="2307" max="2307" width="12" style="152" bestFit="1" customWidth="1"/>
    <col min="2308" max="2308" width="7.140625" style="152" bestFit="1" customWidth="1"/>
    <col min="2309" max="2309" width="12" style="152" bestFit="1" customWidth="1"/>
    <col min="2310" max="2310" width="6.42578125" style="152" bestFit="1" customWidth="1"/>
    <col min="2311" max="2311" width="12" style="152" bestFit="1" customWidth="1"/>
    <col min="2312" max="2312" width="8.28515625" style="152" bestFit="1" customWidth="1"/>
    <col min="2313" max="2313" width="12" style="152" bestFit="1" customWidth="1"/>
    <col min="2314" max="2314" width="8.7109375" style="152" customWidth="1"/>
    <col min="2315" max="2315" width="12.5703125" style="152" bestFit="1" customWidth="1"/>
    <col min="2316" max="2316" width="6.85546875" style="152" bestFit="1" customWidth="1"/>
    <col min="2317" max="2317" width="9.140625" style="152"/>
    <col min="2318" max="2318" width="11.7109375" style="152" bestFit="1" customWidth="1"/>
    <col min="2319" max="2319" width="12" style="152" bestFit="1" customWidth="1"/>
    <col min="2320" max="2320" width="11.7109375" style="152" bestFit="1" customWidth="1"/>
    <col min="2321" max="2560" width="9.140625" style="152"/>
    <col min="2561" max="2561" width="22.7109375" style="152" customWidth="1"/>
    <col min="2562" max="2562" width="12.5703125" style="152" bestFit="1" customWidth="1"/>
    <col min="2563" max="2563" width="12" style="152" bestFit="1" customWidth="1"/>
    <col min="2564" max="2564" width="7.140625" style="152" bestFit="1" customWidth="1"/>
    <col min="2565" max="2565" width="12" style="152" bestFit="1" customWidth="1"/>
    <col min="2566" max="2566" width="6.42578125" style="152" bestFit="1" customWidth="1"/>
    <col min="2567" max="2567" width="12" style="152" bestFit="1" customWidth="1"/>
    <col min="2568" max="2568" width="8.28515625" style="152" bestFit="1" customWidth="1"/>
    <col min="2569" max="2569" width="12" style="152" bestFit="1" customWidth="1"/>
    <col min="2570" max="2570" width="8.7109375" style="152" customWidth="1"/>
    <col min="2571" max="2571" width="12.5703125" style="152" bestFit="1" customWidth="1"/>
    <col min="2572" max="2572" width="6.85546875" style="152" bestFit="1" customWidth="1"/>
    <col min="2573" max="2573" width="9.140625" style="152"/>
    <col min="2574" max="2574" width="11.7109375" style="152" bestFit="1" customWidth="1"/>
    <col min="2575" max="2575" width="12" style="152" bestFit="1" customWidth="1"/>
    <col min="2576" max="2576" width="11.7109375" style="152" bestFit="1" customWidth="1"/>
    <col min="2577" max="2816" width="9.140625" style="152"/>
    <col min="2817" max="2817" width="22.7109375" style="152" customWidth="1"/>
    <col min="2818" max="2818" width="12.5703125" style="152" bestFit="1" customWidth="1"/>
    <col min="2819" max="2819" width="12" style="152" bestFit="1" customWidth="1"/>
    <col min="2820" max="2820" width="7.140625" style="152" bestFit="1" customWidth="1"/>
    <col min="2821" max="2821" width="12" style="152" bestFit="1" customWidth="1"/>
    <col min="2822" max="2822" width="6.42578125" style="152" bestFit="1" customWidth="1"/>
    <col min="2823" max="2823" width="12" style="152" bestFit="1" customWidth="1"/>
    <col min="2824" max="2824" width="8.28515625" style="152" bestFit="1" customWidth="1"/>
    <col min="2825" max="2825" width="12" style="152" bestFit="1" customWidth="1"/>
    <col min="2826" max="2826" width="8.7109375" style="152" customWidth="1"/>
    <col min="2827" max="2827" width="12.5703125" style="152" bestFit="1" customWidth="1"/>
    <col min="2828" max="2828" width="6.85546875" style="152" bestFit="1" customWidth="1"/>
    <col min="2829" max="2829" width="9.140625" style="152"/>
    <col min="2830" max="2830" width="11.7109375" style="152" bestFit="1" customWidth="1"/>
    <col min="2831" max="2831" width="12" style="152" bestFit="1" customWidth="1"/>
    <col min="2832" max="2832" width="11.7109375" style="152" bestFit="1" customWidth="1"/>
    <col min="2833" max="3072" width="9.140625" style="152"/>
    <col min="3073" max="3073" width="22.7109375" style="152" customWidth="1"/>
    <col min="3074" max="3074" width="12.5703125" style="152" bestFit="1" customWidth="1"/>
    <col min="3075" max="3075" width="12" style="152" bestFit="1" customWidth="1"/>
    <col min="3076" max="3076" width="7.140625" style="152" bestFit="1" customWidth="1"/>
    <col min="3077" max="3077" width="12" style="152" bestFit="1" customWidth="1"/>
    <col min="3078" max="3078" width="6.42578125" style="152" bestFit="1" customWidth="1"/>
    <col min="3079" max="3079" width="12" style="152" bestFit="1" customWidth="1"/>
    <col min="3080" max="3080" width="8.28515625" style="152" bestFit="1" customWidth="1"/>
    <col min="3081" max="3081" width="12" style="152" bestFit="1" customWidth="1"/>
    <col min="3082" max="3082" width="8.7109375" style="152" customWidth="1"/>
    <col min="3083" max="3083" width="12.5703125" style="152" bestFit="1" customWidth="1"/>
    <col min="3084" max="3084" width="6.85546875" style="152" bestFit="1" customWidth="1"/>
    <col min="3085" max="3085" width="9.140625" style="152"/>
    <col min="3086" max="3086" width="11.7109375" style="152" bestFit="1" customWidth="1"/>
    <col min="3087" max="3087" width="12" style="152" bestFit="1" customWidth="1"/>
    <col min="3088" max="3088" width="11.7109375" style="152" bestFit="1" customWidth="1"/>
    <col min="3089" max="3328" width="9.140625" style="152"/>
    <col min="3329" max="3329" width="22.7109375" style="152" customWidth="1"/>
    <col min="3330" max="3330" width="12.5703125" style="152" bestFit="1" customWidth="1"/>
    <col min="3331" max="3331" width="12" style="152" bestFit="1" customWidth="1"/>
    <col min="3332" max="3332" width="7.140625" style="152" bestFit="1" customWidth="1"/>
    <col min="3333" max="3333" width="12" style="152" bestFit="1" customWidth="1"/>
    <col min="3334" max="3334" width="6.42578125" style="152" bestFit="1" customWidth="1"/>
    <col min="3335" max="3335" width="12" style="152" bestFit="1" customWidth="1"/>
    <col min="3336" max="3336" width="8.28515625" style="152" bestFit="1" customWidth="1"/>
    <col min="3337" max="3337" width="12" style="152" bestFit="1" customWidth="1"/>
    <col min="3338" max="3338" width="8.7109375" style="152" customWidth="1"/>
    <col min="3339" max="3339" width="12.5703125" style="152" bestFit="1" customWidth="1"/>
    <col min="3340" max="3340" width="6.85546875" style="152" bestFit="1" customWidth="1"/>
    <col min="3341" max="3341" width="9.140625" style="152"/>
    <col min="3342" max="3342" width="11.7109375" style="152" bestFit="1" customWidth="1"/>
    <col min="3343" max="3343" width="12" style="152" bestFit="1" customWidth="1"/>
    <col min="3344" max="3344" width="11.7109375" style="152" bestFit="1" customWidth="1"/>
    <col min="3345" max="3584" width="9.140625" style="152"/>
    <col min="3585" max="3585" width="22.7109375" style="152" customWidth="1"/>
    <col min="3586" max="3586" width="12.5703125" style="152" bestFit="1" customWidth="1"/>
    <col min="3587" max="3587" width="12" style="152" bestFit="1" customWidth="1"/>
    <col min="3588" max="3588" width="7.140625" style="152" bestFit="1" customWidth="1"/>
    <col min="3589" max="3589" width="12" style="152" bestFit="1" customWidth="1"/>
    <col min="3590" max="3590" width="6.42578125" style="152" bestFit="1" customWidth="1"/>
    <col min="3591" max="3591" width="12" style="152" bestFit="1" customWidth="1"/>
    <col min="3592" max="3592" width="8.28515625" style="152" bestFit="1" customWidth="1"/>
    <col min="3593" max="3593" width="12" style="152" bestFit="1" customWidth="1"/>
    <col min="3594" max="3594" width="8.7109375" style="152" customWidth="1"/>
    <col min="3595" max="3595" width="12.5703125" style="152" bestFit="1" customWidth="1"/>
    <col min="3596" max="3596" width="6.85546875" style="152" bestFit="1" customWidth="1"/>
    <col min="3597" max="3597" width="9.140625" style="152"/>
    <col min="3598" max="3598" width="11.7109375" style="152" bestFit="1" customWidth="1"/>
    <col min="3599" max="3599" width="12" style="152" bestFit="1" customWidth="1"/>
    <col min="3600" max="3600" width="11.7109375" style="152" bestFit="1" customWidth="1"/>
    <col min="3601" max="3840" width="9.140625" style="152"/>
    <col min="3841" max="3841" width="22.7109375" style="152" customWidth="1"/>
    <col min="3842" max="3842" width="12.5703125" style="152" bestFit="1" customWidth="1"/>
    <col min="3843" max="3843" width="12" style="152" bestFit="1" customWidth="1"/>
    <col min="3844" max="3844" width="7.140625" style="152" bestFit="1" customWidth="1"/>
    <col min="3845" max="3845" width="12" style="152" bestFit="1" customWidth="1"/>
    <col min="3846" max="3846" width="6.42578125" style="152" bestFit="1" customWidth="1"/>
    <col min="3847" max="3847" width="12" style="152" bestFit="1" customWidth="1"/>
    <col min="3848" max="3848" width="8.28515625" style="152" bestFit="1" customWidth="1"/>
    <col min="3849" max="3849" width="12" style="152" bestFit="1" customWidth="1"/>
    <col min="3850" max="3850" width="8.7109375" style="152" customWidth="1"/>
    <col min="3851" max="3851" width="12.5703125" style="152" bestFit="1" customWidth="1"/>
    <col min="3852" max="3852" width="6.85546875" style="152" bestFit="1" customWidth="1"/>
    <col min="3853" max="3853" width="9.140625" style="152"/>
    <col min="3854" max="3854" width="11.7109375" style="152" bestFit="1" customWidth="1"/>
    <col min="3855" max="3855" width="12" style="152" bestFit="1" customWidth="1"/>
    <col min="3856" max="3856" width="11.7109375" style="152" bestFit="1" customWidth="1"/>
    <col min="3857" max="4096" width="9.140625" style="152"/>
    <col min="4097" max="4097" width="22.7109375" style="152" customWidth="1"/>
    <col min="4098" max="4098" width="12.5703125" style="152" bestFit="1" customWidth="1"/>
    <col min="4099" max="4099" width="12" style="152" bestFit="1" customWidth="1"/>
    <col min="4100" max="4100" width="7.140625" style="152" bestFit="1" customWidth="1"/>
    <col min="4101" max="4101" width="12" style="152" bestFit="1" customWidth="1"/>
    <col min="4102" max="4102" width="6.42578125" style="152" bestFit="1" customWidth="1"/>
    <col min="4103" max="4103" width="12" style="152" bestFit="1" customWidth="1"/>
    <col min="4104" max="4104" width="8.28515625" style="152" bestFit="1" customWidth="1"/>
    <col min="4105" max="4105" width="12" style="152" bestFit="1" customWidth="1"/>
    <col min="4106" max="4106" width="8.7109375" style="152" customWidth="1"/>
    <col min="4107" max="4107" width="12.5703125" style="152" bestFit="1" customWidth="1"/>
    <col min="4108" max="4108" width="6.85546875" style="152" bestFit="1" customWidth="1"/>
    <col min="4109" max="4109" width="9.140625" style="152"/>
    <col min="4110" max="4110" width="11.7109375" style="152" bestFit="1" customWidth="1"/>
    <col min="4111" max="4111" width="12" style="152" bestFit="1" customWidth="1"/>
    <col min="4112" max="4112" width="11.7109375" style="152" bestFit="1" customWidth="1"/>
    <col min="4113" max="4352" width="9.140625" style="152"/>
    <col min="4353" max="4353" width="22.7109375" style="152" customWidth="1"/>
    <col min="4354" max="4354" width="12.5703125" style="152" bestFit="1" customWidth="1"/>
    <col min="4355" max="4355" width="12" style="152" bestFit="1" customWidth="1"/>
    <col min="4356" max="4356" width="7.140625" style="152" bestFit="1" customWidth="1"/>
    <col min="4357" max="4357" width="12" style="152" bestFit="1" customWidth="1"/>
    <col min="4358" max="4358" width="6.42578125" style="152" bestFit="1" customWidth="1"/>
    <col min="4359" max="4359" width="12" style="152" bestFit="1" customWidth="1"/>
    <col min="4360" max="4360" width="8.28515625" style="152" bestFit="1" customWidth="1"/>
    <col min="4361" max="4361" width="12" style="152" bestFit="1" customWidth="1"/>
    <col min="4362" max="4362" width="8.7109375" style="152" customWidth="1"/>
    <col min="4363" max="4363" width="12.5703125" style="152" bestFit="1" customWidth="1"/>
    <col min="4364" max="4364" width="6.85546875" style="152" bestFit="1" customWidth="1"/>
    <col min="4365" max="4365" width="9.140625" style="152"/>
    <col min="4366" max="4366" width="11.7109375" style="152" bestFit="1" customWidth="1"/>
    <col min="4367" max="4367" width="12" style="152" bestFit="1" customWidth="1"/>
    <col min="4368" max="4368" width="11.7109375" style="152" bestFit="1" customWidth="1"/>
    <col min="4369" max="4608" width="9.140625" style="152"/>
    <col min="4609" max="4609" width="22.7109375" style="152" customWidth="1"/>
    <col min="4610" max="4610" width="12.5703125" style="152" bestFit="1" customWidth="1"/>
    <col min="4611" max="4611" width="12" style="152" bestFit="1" customWidth="1"/>
    <col min="4612" max="4612" width="7.140625" style="152" bestFit="1" customWidth="1"/>
    <col min="4613" max="4613" width="12" style="152" bestFit="1" customWidth="1"/>
    <col min="4614" max="4614" width="6.42578125" style="152" bestFit="1" customWidth="1"/>
    <col min="4615" max="4615" width="12" style="152" bestFit="1" customWidth="1"/>
    <col min="4616" max="4616" width="8.28515625" style="152" bestFit="1" customWidth="1"/>
    <col min="4617" max="4617" width="12" style="152" bestFit="1" customWidth="1"/>
    <col min="4618" max="4618" width="8.7109375" style="152" customWidth="1"/>
    <col min="4619" max="4619" width="12.5703125" style="152" bestFit="1" customWidth="1"/>
    <col min="4620" max="4620" width="6.85546875" style="152" bestFit="1" customWidth="1"/>
    <col min="4621" max="4621" width="9.140625" style="152"/>
    <col min="4622" max="4622" width="11.7109375" style="152" bestFit="1" customWidth="1"/>
    <col min="4623" max="4623" width="12" style="152" bestFit="1" customWidth="1"/>
    <col min="4624" max="4624" width="11.7109375" style="152" bestFit="1" customWidth="1"/>
    <col min="4625" max="4864" width="9.140625" style="152"/>
    <col min="4865" max="4865" width="22.7109375" style="152" customWidth="1"/>
    <col min="4866" max="4866" width="12.5703125" style="152" bestFit="1" customWidth="1"/>
    <col min="4867" max="4867" width="12" style="152" bestFit="1" customWidth="1"/>
    <col min="4868" max="4868" width="7.140625" style="152" bestFit="1" customWidth="1"/>
    <col min="4869" max="4869" width="12" style="152" bestFit="1" customWidth="1"/>
    <col min="4870" max="4870" width="6.42578125" style="152" bestFit="1" customWidth="1"/>
    <col min="4871" max="4871" width="12" style="152" bestFit="1" customWidth="1"/>
    <col min="4872" max="4872" width="8.28515625" style="152" bestFit="1" customWidth="1"/>
    <col min="4873" max="4873" width="12" style="152" bestFit="1" customWidth="1"/>
    <col min="4874" max="4874" width="8.7109375" style="152" customWidth="1"/>
    <col min="4875" max="4875" width="12.5703125" style="152" bestFit="1" customWidth="1"/>
    <col min="4876" max="4876" width="6.85546875" style="152" bestFit="1" customWidth="1"/>
    <col min="4877" max="4877" width="9.140625" style="152"/>
    <col min="4878" max="4878" width="11.7109375" style="152" bestFit="1" customWidth="1"/>
    <col min="4879" max="4879" width="12" style="152" bestFit="1" customWidth="1"/>
    <col min="4880" max="4880" width="11.7109375" style="152" bestFit="1" customWidth="1"/>
    <col min="4881" max="5120" width="9.140625" style="152"/>
    <col min="5121" max="5121" width="22.7109375" style="152" customWidth="1"/>
    <col min="5122" max="5122" width="12.5703125" style="152" bestFit="1" customWidth="1"/>
    <col min="5123" max="5123" width="12" style="152" bestFit="1" customWidth="1"/>
    <col min="5124" max="5124" width="7.140625" style="152" bestFit="1" customWidth="1"/>
    <col min="5125" max="5125" width="12" style="152" bestFit="1" customWidth="1"/>
    <col min="5126" max="5126" width="6.42578125" style="152" bestFit="1" customWidth="1"/>
    <col min="5127" max="5127" width="12" style="152" bestFit="1" customWidth="1"/>
    <col min="5128" max="5128" width="8.28515625" style="152" bestFit="1" customWidth="1"/>
    <col min="5129" max="5129" width="12" style="152" bestFit="1" customWidth="1"/>
    <col min="5130" max="5130" width="8.7109375" style="152" customWidth="1"/>
    <col min="5131" max="5131" width="12.5703125" style="152" bestFit="1" customWidth="1"/>
    <col min="5132" max="5132" width="6.85546875" style="152" bestFit="1" customWidth="1"/>
    <col min="5133" max="5133" width="9.140625" style="152"/>
    <col min="5134" max="5134" width="11.7109375" style="152" bestFit="1" customWidth="1"/>
    <col min="5135" max="5135" width="12" style="152" bestFit="1" customWidth="1"/>
    <col min="5136" max="5136" width="11.7109375" style="152" bestFit="1" customWidth="1"/>
    <col min="5137" max="5376" width="9.140625" style="152"/>
    <col min="5377" max="5377" width="22.7109375" style="152" customWidth="1"/>
    <col min="5378" max="5378" width="12.5703125" style="152" bestFit="1" customWidth="1"/>
    <col min="5379" max="5379" width="12" style="152" bestFit="1" customWidth="1"/>
    <col min="5380" max="5380" width="7.140625" style="152" bestFit="1" customWidth="1"/>
    <col min="5381" max="5381" width="12" style="152" bestFit="1" customWidth="1"/>
    <col min="5382" max="5382" width="6.42578125" style="152" bestFit="1" customWidth="1"/>
    <col min="5383" max="5383" width="12" style="152" bestFit="1" customWidth="1"/>
    <col min="5384" max="5384" width="8.28515625" style="152" bestFit="1" customWidth="1"/>
    <col min="5385" max="5385" width="12" style="152" bestFit="1" customWidth="1"/>
    <col min="5386" max="5386" width="8.7109375" style="152" customWidth="1"/>
    <col min="5387" max="5387" width="12.5703125" style="152" bestFit="1" customWidth="1"/>
    <col min="5388" max="5388" width="6.85546875" style="152" bestFit="1" customWidth="1"/>
    <col min="5389" max="5389" width="9.140625" style="152"/>
    <col min="5390" max="5390" width="11.7109375" style="152" bestFit="1" customWidth="1"/>
    <col min="5391" max="5391" width="12" style="152" bestFit="1" customWidth="1"/>
    <col min="5392" max="5392" width="11.7109375" style="152" bestFit="1" customWidth="1"/>
    <col min="5393" max="5632" width="9.140625" style="152"/>
    <col min="5633" max="5633" width="22.7109375" style="152" customWidth="1"/>
    <col min="5634" max="5634" width="12.5703125" style="152" bestFit="1" customWidth="1"/>
    <col min="5635" max="5635" width="12" style="152" bestFit="1" customWidth="1"/>
    <col min="5636" max="5636" width="7.140625" style="152" bestFit="1" customWidth="1"/>
    <col min="5637" max="5637" width="12" style="152" bestFit="1" customWidth="1"/>
    <col min="5638" max="5638" width="6.42578125" style="152" bestFit="1" customWidth="1"/>
    <col min="5639" max="5639" width="12" style="152" bestFit="1" customWidth="1"/>
    <col min="5640" max="5640" width="8.28515625" style="152" bestFit="1" customWidth="1"/>
    <col min="5641" max="5641" width="12" style="152" bestFit="1" customWidth="1"/>
    <col min="5642" max="5642" width="8.7109375" style="152" customWidth="1"/>
    <col min="5643" max="5643" width="12.5703125" style="152" bestFit="1" customWidth="1"/>
    <col min="5644" max="5644" width="6.85546875" style="152" bestFit="1" customWidth="1"/>
    <col min="5645" max="5645" width="9.140625" style="152"/>
    <col min="5646" max="5646" width="11.7109375" style="152" bestFit="1" customWidth="1"/>
    <col min="5647" max="5647" width="12" style="152" bestFit="1" customWidth="1"/>
    <col min="5648" max="5648" width="11.7109375" style="152" bestFit="1" customWidth="1"/>
    <col min="5649" max="5888" width="9.140625" style="152"/>
    <col min="5889" max="5889" width="22.7109375" style="152" customWidth="1"/>
    <col min="5890" max="5890" width="12.5703125" style="152" bestFit="1" customWidth="1"/>
    <col min="5891" max="5891" width="12" style="152" bestFit="1" customWidth="1"/>
    <col min="5892" max="5892" width="7.140625" style="152" bestFit="1" customWidth="1"/>
    <col min="5893" max="5893" width="12" style="152" bestFit="1" customWidth="1"/>
    <col min="5894" max="5894" width="6.42578125" style="152" bestFit="1" customWidth="1"/>
    <col min="5895" max="5895" width="12" style="152" bestFit="1" customWidth="1"/>
    <col min="5896" max="5896" width="8.28515625" style="152" bestFit="1" customWidth="1"/>
    <col min="5897" max="5897" width="12" style="152" bestFit="1" customWidth="1"/>
    <col min="5898" max="5898" width="8.7109375" style="152" customWidth="1"/>
    <col min="5899" max="5899" width="12.5703125" style="152" bestFit="1" customWidth="1"/>
    <col min="5900" max="5900" width="6.85546875" style="152" bestFit="1" customWidth="1"/>
    <col min="5901" max="5901" width="9.140625" style="152"/>
    <col min="5902" max="5902" width="11.7109375" style="152" bestFit="1" customWidth="1"/>
    <col min="5903" max="5903" width="12" style="152" bestFit="1" customWidth="1"/>
    <col min="5904" max="5904" width="11.7109375" style="152" bestFit="1" customWidth="1"/>
    <col min="5905" max="6144" width="9.140625" style="152"/>
    <col min="6145" max="6145" width="22.7109375" style="152" customWidth="1"/>
    <col min="6146" max="6146" width="12.5703125" style="152" bestFit="1" customWidth="1"/>
    <col min="6147" max="6147" width="12" style="152" bestFit="1" customWidth="1"/>
    <col min="6148" max="6148" width="7.140625" style="152" bestFit="1" customWidth="1"/>
    <col min="6149" max="6149" width="12" style="152" bestFit="1" customWidth="1"/>
    <col min="6150" max="6150" width="6.42578125" style="152" bestFit="1" customWidth="1"/>
    <col min="6151" max="6151" width="12" style="152" bestFit="1" customWidth="1"/>
    <col min="6152" max="6152" width="8.28515625" style="152" bestFit="1" customWidth="1"/>
    <col min="6153" max="6153" width="12" style="152" bestFit="1" customWidth="1"/>
    <col min="6154" max="6154" width="8.7109375" style="152" customWidth="1"/>
    <col min="6155" max="6155" width="12.5703125" style="152" bestFit="1" customWidth="1"/>
    <col min="6156" max="6156" width="6.85546875" style="152" bestFit="1" customWidth="1"/>
    <col min="6157" max="6157" width="9.140625" style="152"/>
    <col min="6158" max="6158" width="11.7109375" style="152" bestFit="1" customWidth="1"/>
    <col min="6159" max="6159" width="12" style="152" bestFit="1" customWidth="1"/>
    <col min="6160" max="6160" width="11.7109375" style="152" bestFit="1" customWidth="1"/>
    <col min="6161" max="6400" width="9.140625" style="152"/>
    <col min="6401" max="6401" width="22.7109375" style="152" customWidth="1"/>
    <col min="6402" max="6402" width="12.5703125" style="152" bestFit="1" customWidth="1"/>
    <col min="6403" max="6403" width="12" style="152" bestFit="1" customWidth="1"/>
    <col min="6404" max="6404" width="7.140625" style="152" bestFit="1" customWidth="1"/>
    <col min="6405" max="6405" width="12" style="152" bestFit="1" customWidth="1"/>
    <col min="6406" max="6406" width="6.42578125" style="152" bestFit="1" customWidth="1"/>
    <col min="6407" max="6407" width="12" style="152" bestFit="1" customWidth="1"/>
    <col min="6408" max="6408" width="8.28515625" style="152" bestFit="1" customWidth="1"/>
    <col min="6409" max="6409" width="12" style="152" bestFit="1" customWidth="1"/>
    <col min="6410" max="6410" width="8.7109375" style="152" customWidth="1"/>
    <col min="6411" max="6411" width="12.5703125" style="152" bestFit="1" customWidth="1"/>
    <col min="6412" max="6412" width="6.85546875" style="152" bestFit="1" customWidth="1"/>
    <col min="6413" max="6413" width="9.140625" style="152"/>
    <col min="6414" max="6414" width="11.7109375" style="152" bestFit="1" customWidth="1"/>
    <col min="6415" max="6415" width="12" style="152" bestFit="1" customWidth="1"/>
    <col min="6416" max="6416" width="11.7109375" style="152" bestFit="1" customWidth="1"/>
    <col min="6417" max="6656" width="9.140625" style="152"/>
    <col min="6657" max="6657" width="22.7109375" style="152" customWidth="1"/>
    <col min="6658" max="6658" width="12.5703125" style="152" bestFit="1" customWidth="1"/>
    <col min="6659" max="6659" width="12" style="152" bestFit="1" customWidth="1"/>
    <col min="6660" max="6660" width="7.140625" style="152" bestFit="1" customWidth="1"/>
    <col min="6661" max="6661" width="12" style="152" bestFit="1" customWidth="1"/>
    <col min="6662" max="6662" width="6.42578125" style="152" bestFit="1" customWidth="1"/>
    <col min="6663" max="6663" width="12" style="152" bestFit="1" customWidth="1"/>
    <col min="6664" max="6664" width="8.28515625" style="152" bestFit="1" customWidth="1"/>
    <col min="6665" max="6665" width="12" style="152" bestFit="1" customWidth="1"/>
    <col min="6666" max="6666" width="8.7109375" style="152" customWidth="1"/>
    <col min="6667" max="6667" width="12.5703125" style="152" bestFit="1" customWidth="1"/>
    <col min="6668" max="6668" width="6.85546875" style="152" bestFit="1" customWidth="1"/>
    <col min="6669" max="6669" width="9.140625" style="152"/>
    <col min="6670" max="6670" width="11.7109375" style="152" bestFit="1" customWidth="1"/>
    <col min="6671" max="6671" width="12" style="152" bestFit="1" customWidth="1"/>
    <col min="6672" max="6672" width="11.7109375" style="152" bestFit="1" customWidth="1"/>
    <col min="6673" max="6912" width="9.140625" style="152"/>
    <col min="6913" max="6913" width="22.7109375" style="152" customWidth="1"/>
    <col min="6914" max="6914" width="12.5703125" style="152" bestFit="1" customWidth="1"/>
    <col min="6915" max="6915" width="12" style="152" bestFit="1" customWidth="1"/>
    <col min="6916" max="6916" width="7.140625" style="152" bestFit="1" customWidth="1"/>
    <col min="6917" max="6917" width="12" style="152" bestFit="1" customWidth="1"/>
    <col min="6918" max="6918" width="6.42578125" style="152" bestFit="1" customWidth="1"/>
    <col min="6919" max="6919" width="12" style="152" bestFit="1" customWidth="1"/>
    <col min="6920" max="6920" width="8.28515625" style="152" bestFit="1" customWidth="1"/>
    <col min="6921" max="6921" width="12" style="152" bestFit="1" customWidth="1"/>
    <col min="6922" max="6922" width="8.7109375" style="152" customWidth="1"/>
    <col min="6923" max="6923" width="12.5703125" style="152" bestFit="1" customWidth="1"/>
    <col min="6924" max="6924" width="6.85546875" style="152" bestFit="1" customWidth="1"/>
    <col min="6925" max="6925" width="9.140625" style="152"/>
    <col min="6926" max="6926" width="11.7109375" style="152" bestFit="1" customWidth="1"/>
    <col min="6927" max="6927" width="12" style="152" bestFit="1" customWidth="1"/>
    <col min="6928" max="6928" width="11.7109375" style="152" bestFit="1" customWidth="1"/>
    <col min="6929" max="7168" width="9.140625" style="152"/>
    <col min="7169" max="7169" width="22.7109375" style="152" customWidth="1"/>
    <col min="7170" max="7170" width="12.5703125" style="152" bestFit="1" customWidth="1"/>
    <col min="7171" max="7171" width="12" style="152" bestFit="1" customWidth="1"/>
    <col min="7172" max="7172" width="7.140625" style="152" bestFit="1" customWidth="1"/>
    <col min="7173" max="7173" width="12" style="152" bestFit="1" customWidth="1"/>
    <col min="7174" max="7174" width="6.42578125" style="152" bestFit="1" customWidth="1"/>
    <col min="7175" max="7175" width="12" style="152" bestFit="1" customWidth="1"/>
    <col min="7176" max="7176" width="8.28515625" style="152" bestFit="1" customWidth="1"/>
    <col min="7177" max="7177" width="12" style="152" bestFit="1" customWidth="1"/>
    <col min="7178" max="7178" width="8.7109375" style="152" customWidth="1"/>
    <col min="7179" max="7179" width="12.5703125" style="152" bestFit="1" customWidth="1"/>
    <col min="7180" max="7180" width="6.85546875" style="152" bestFit="1" customWidth="1"/>
    <col min="7181" max="7181" width="9.140625" style="152"/>
    <col min="7182" max="7182" width="11.7109375" style="152" bestFit="1" customWidth="1"/>
    <col min="7183" max="7183" width="12" style="152" bestFit="1" customWidth="1"/>
    <col min="7184" max="7184" width="11.7109375" style="152" bestFit="1" customWidth="1"/>
    <col min="7185" max="7424" width="9.140625" style="152"/>
    <col min="7425" max="7425" width="22.7109375" style="152" customWidth="1"/>
    <col min="7426" max="7426" width="12.5703125" style="152" bestFit="1" customWidth="1"/>
    <col min="7427" max="7427" width="12" style="152" bestFit="1" customWidth="1"/>
    <col min="7428" max="7428" width="7.140625" style="152" bestFit="1" customWidth="1"/>
    <col min="7429" max="7429" width="12" style="152" bestFit="1" customWidth="1"/>
    <col min="7430" max="7430" width="6.42578125" style="152" bestFit="1" customWidth="1"/>
    <col min="7431" max="7431" width="12" style="152" bestFit="1" customWidth="1"/>
    <col min="7432" max="7432" width="8.28515625" style="152" bestFit="1" customWidth="1"/>
    <col min="7433" max="7433" width="12" style="152" bestFit="1" customWidth="1"/>
    <col min="7434" max="7434" width="8.7109375" style="152" customWidth="1"/>
    <col min="7435" max="7435" width="12.5703125" style="152" bestFit="1" customWidth="1"/>
    <col min="7436" max="7436" width="6.85546875" style="152" bestFit="1" customWidth="1"/>
    <col min="7437" max="7437" width="9.140625" style="152"/>
    <col min="7438" max="7438" width="11.7109375" style="152" bestFit="1" customWidth="1"/>
    <col min="7439" max="7439" width="12" style="152" bestFit="1" customWidth="1"/>
    <col min="7440" max="7440" width="11.7109375" style="152" bestFit="1" customWidth="1"/>
    <col min="7441" max="7680" width="9.140625" style="152"/>
    <col min="7681" max="7681" width="22.7109375" style="152" customWidth="1"/>
    <col min="7682" max="7682" width="12.5703125" style="152" bestFit="1" customWidth="1"/>
    <col min="7683" max="7683" width="12" style="152" bestFit="1" customWidth="1"/>
    <col min="7684" max="7684" width="7.140625" style="152" bestFit="1" customWidth="1"/>
    <col min="7685" max="7685" width="12" style="152" bestFit="1" customWidth="1"/>
    <col min="7686" max="7686" width="6.42578125" style="152" bestFit="1" customWidth="1"/>
    <col min="7687" max="7687" width="12" style="152" bestFit="1" customWidth="1"/>
    <col min="7688" max="7688" width="8.28515625" style="152" bestFit="1" customWidth="1"/>
    <col min="7689" max="7689" width="12" style="152" bestFit="1" customWidth="1"/>
    <col min="7690" max="7690" width="8.7109375" style="152" customWidth="1"/>
    <col min="7691" max="7691" width="12.5703125" style="152" bestFit="1" customWidth="1"/>
    <col min="7692" max="7692" width="6.85546875" style="152" bestFit="1" customWidth="1"/>
    <col min="7693" max="7693" width="9.140625" style="152"/>
    <col min="7694" max="7694" width="11.7109375" style="152" bestFit="1" customWidth="1"/>
    <col min="7695" max="7695" width="12" style="152" bestFit="1" customWidth="1"/>
    <col min="7696" max="7696" width="11.7109375" style="152" bestFit="1" customWidth="1"/>
    <col min="7697" max="7936" width="9.140625" style="152"/>
    <col min="7937" max="7937" width="22.7109375" style="152" customWidth="1"/>
    <col min="7938" max="7938" width="12.5703125" style="152" bestFit="1" customWidth="1"/>
    <col min="7939" max="7939" width="12" style="152" bestFit="1" customWidth="1"/>
    <col min="7940" max="7940" width="7.140625" style="152" bestFit="1" customWidth="1"/>
    <col min="7941" max="7941" width="12" style="152" bestFit="1" customWidth="1"/>
    <col min="7942" max="7942" width="6.42578125" style="152" bestFit="1" customWidth="1"/>
    <col min="7943" max="7943" width="12" style="152" bestFit="1" customWidth="1"/>
    <col min="7944" max="7944" width="8.28515625" style="152" bestFit="1" customWidth="1"/>
    <col min="7945" max="7945" width="12" style="152" bestFit="1" customWidth="1"/>
    <col min="7946" max="7946" width="8.7109375" style="152" customWidth="1"/>
    <col min="7947" max="7947" width="12.5703125" style="152" bestFit="1" customWidth="1"/>
    <col min="7948" max="7948" width="6.85546875" style="152" bestFit="1" customWidth="1"/>
    <col min="7949" max="7949" width="9.140625" style="152"/>
    <col min="7950" max="7950" width="11.7109375" style="152" bestFit="1" customWidth="1"/>
    <col min="7951" max="7951" width="12" style="152" bestFit="1" customWidth="1"/>
    <col min="7952" max="7952" width="11.7109375" style="152" bestFit="1" customWidth="1"/>
    <col min="7953" max="8192" width="9.140625" style="152"/>
    <col min="8193" max="8193" width="22.7109375" style="152" customWidth="1"/>
    <col min="8194" max="8194" width="12.5703125" style="152" bestFit="1" customWidth="1"/>
    <col min="8195" max="8195" width="12" style="152" bestFit="1" customWidth="1"/>
    <col min="8196" max="8196" width="7.140625" style="152" bestFit="1" customWidth="1"/>
    <col min="8197" max="8197" width="12" style="152" bestFit="1" customWidth="1"/>
    <col min="8198" max="8198" width="6.42578125" style="152" bestFit="1" customWidth="1"/>
    <col min="8199" max="8199" width="12" style="152" bestFit="1" customWidth="1"/>
    <col min="8200" max="8200" width="8.28515625" style="152" bestFit="1" customWidth="1"/>
    <col min="8201" max="8201" width="12" style="152" bestFit="1" customWidth="1"/>
    <col min="8202" max="8202" width="8.7109375" style="152" customWidth="1"/>
    <col min="8203" max="8203" width="12.5703125" style="152" bestFit="1" customWidth="1"/>
    <col min="8204" max="8204" width="6.85546875" style="152" bestFit="1" customWidth="1"/>
    <col min="8205" max="8205" width="9.140625" style="152"/>
    <col min="8206" max="8206" width="11.7109375" style="152" bestFit="1" customWidth="1"/>
    <col min="8207" max="8207" width="12" style="152" bestFit="1" customWidth="1"/>
    <col min="8208" max="8208" width="11.7109375" style="152" bestFit="1" customWidth="1"/>
    <col min="8209" max="8448" width="9.140625" style="152"/>
    <col min="8449" max="8449" width="22.7109375" style="152" customWidth="1"/>
    <col min="8450" max="8450" width="12.5703125" style="152" bestFit="1" customWidth="1"/>
    <col min="8451" max="8451" width="12" style="152" bestFit="1" customWidth="1"/>
    <col min="8452" max="8452" width="7.140625" style="152" bestFit="1" customWidth="1"/>
    <col min="8453" max="8453" width="12" style="152" bestFit="1" customWidth="1"/>
    <col min="8454" max="8454" width="6.42578125" style="152" bestFit="1" customWidth="1"/>
    <col min="8455" max="8455" width="12" style="152" bestFit="1" customWidth="1"/>
    <col min="8456" max="8456" width="8.28515625" style="152" bestFit="1" customWidth="1"/>
    <col min="8457" max="8457" width="12" style="152" bestFit="1" customWidth="1"/>
    <col min="8458" max="8458" width="8.7109375" style="152" customWidth="1"/>
    <col min="8459" max="8459" width="12.5703125" style="152" bestFit="1" customWidth="1"/>
    <col min="8460" max="8460" width="6.85546875" style="152" bestFit="1" customWidth="1"/>
    <col min="8461" max="8461" width="9.140625" style="152"/>
    <col min="8462" max="8462" width="11.7109375" style="152" bestFit="1" customWidth="1"/>
    <col min="8463" max="8463" width="12" style="152" bestFit="1" customWidth="1"/>
    <col min="8464" max="8464" width="11.7109375" style="152" bestFit="1" customWidth="1"/>
    <col min="8465" max="8704" width="9.140625" style="152"/>
    <col min="8705" max="8705" width="22.7109375" style="152" customWidth="1"/>
    <col min="8706" max="8706" width="12.5703125" style="152" bestFit="1" customWidth="1"/>
    <col min="8707" max="8707" width="12" style="152" bestFit="1" customWidth="1"/>
    <col min="8708" max="8708" width="7.140625" style="152" bestFit="1" customWidth="1"/>
    <col min="8709" max="8709" width="12" style="152" bestFit="1" customWidth="1"/>
    <col min="8710" max="8710" width="6.42578125" style="152" bestFit="1" customWidth="1"/>
    <col min="8711" max="8711" width="12" style="152" bestFit="1" customWidth="1"/>
    <col min="8712" max="8712" width="8.28515625" style="152" bestFit="1" customWidth="1"/>
    <col min="8713" max="8713" width="12" style="152" bestFit="1" customWidth="1"/>
    <col min="8714" max="8714" width="8.7109375" style="152" customWidth="1"/>
    <col min="8715" max="8715" width="12.5703125" style="152" bestFit="1" customWidth="1"/>
    <col min="8716" max="8716" width="6.85546875" style="152" bestFit="1" customWidth="1"/>
    <col min="8717" max="8717" width="9.140625" style="152"/>
    <col min="8718" max="8718" width="11.7109375" style="152" bestFit="1" customWidth="1"/>
    <col min="8719" max="8719" width="12" style="152" bestFit="1" customWidth="1"/>
    <col min="8720" max="8720" width="11.7109375" style="152" bestFit="1" customWidth="1"/>
    <col min="8721" max="8960" width="9.140625" style="152"/>
    <col min="8961" max="8961" width="22.7109375" style="152" customWidth="1"/>
    <col min="8962" max="8962" width="12.5703125" style="152" bestFit="1" customWidth="1"/>
    <col min="8963" max="8963" width="12" style="152" bestFit="1" customWidth="1"/>
    <col min="8964" max="8964" width="7.140625" style="152" bestFit="1" customWidth="1"/>
    <col min="8965" max="8965" width="12" style="152" bestFit="1" customWidth="1"/>
    <col min="8966" max="8966" width="6.42578125" style="152" bestFit="1" customWidth="1"/>
    <col min="8967" max="8967" width="12" style="152" bestFit="1" customWidth="1"/>
    <col min="8968" max="8968" width="8.28515625" style="152" bestFit="1" customWidth="1"/>
    <col min="8969" max="8969" width="12" style="152" bestFit="1" customWidth="1"/>
    <col min="8970" max="8970" width="8.7109375" style="152" customWidth="1"/>
    <col min="8971" max="8971" width="12.5703125" style="152" bestFit="1" customWidth="1"/>
    <col min="8972" max="8972" width="6.85546875" style="152" bestFit="1" customWidth="1"/>
    <col min="8973" max="8973" width="9.140625" style="152"/>
    <col min="8974" max="8974" width="11.7109375" style="152" bestFit="1" customWidth="1"/>
    <col min="8975" max="8975" width="12" style="152" bestFit="1" customWidth="1"/>
    <col min="8976" max="8976" width="11.7109375" style="152" bestFit="1" customWidth="1"/>
    <col min="8977" max="9216" width="9.140625" style="152"/>
    <col min="9217" max="9217" width="22.7109375" style="152" customWidth="1"/>
    <col min="9218" max="9218" width="12.5703125" style="152" bestFit="1" customWidth="1"/>
    <col min="9219" max="9219" width="12" style="152" bestFit="1" customWidth="1"/>
    <col min="9220" max="9220" width="7.140625" style="152" bestFit="1" customWidth="1"/>
    <col min="9221" max="9221" width="12" style="152" bestFit="1" customWidth="1"/>
    <col min="9222" max="9222" width="6.42578125" style="152" bestFit="1" customWidth="1"/>
    <col min="9223" max="9223" width="12" style="152" bestFit="1" customWidth="1"/>
    <col min="9224" max="9224" width="8.28515625" style="152" bestFit="1" customWidth="1"/>
    <col min="9225" max="9225" width="12" style="152" bestFit="1" customWidth="1"/>
    <col min="9226" max="9226" width="8.7109375" style="152" customWidth="1"/>
    <col min="9227" max="9227" width="12.5703125" style="152" bestFit="1" customWidth="1"/>
    <col min="9228" max="9228" width="6.85546875" style="152" bestFit="1" customWidth="1"/>
    <col min="9229" max="9229" width="9.140625" style="152"/>
    <col min="9230" max="9230" width="11.7109375" style="152" bestFit="1" customWidth="1"/>
    <col min="9231" max="9231" width="12" style="152" bestFit="1" customWidth="1"/>
    <col min="9232" max="9232" width="11.7109375" style="152" bestFit="1" customWidth="1"/>
    <col min="9233" max="9472" width="9.140625" style="152"/>
    <col min="9473" max="9473" width="22.7109375" style="152" customWidth="1"/>
    <col min="9474" max="9474" width="12.5703125" style="152" bestFit="1" customWidth="1"/>
    <col min="9475" max="9475" width="12" style="152" bestFit="1" customWidth="1"/>
    <col min="9476" max="9476" width="7.140625" style="152" bestFit="1" customWidth="1"/>
    <col min="9477" max="9477" width="12" style="152" bestFit="1" customWidth="1"/>
    <col min="9478" max="9478" width="6.42578125" style="152" bestFit="1" customWidth="1"/>
    <col min="9479" max="9479" width="12" style="152" bestFit="1" customWidth="1"/>
    <col min="9480" max="9480" width="8.28515625" style="152" bestFit="1" customWidth="1"/>
    <col min="9481" max="9481" width="12" style="152" bestFit="1" customWidth="1"/>
    <col min="9482" max="9482" width="8.7109375" style="152" customWidth="1"/>
    <col min="9483" max="9483" width="12.5703125" style="152" bestFit="1" customWidth="1"/>
    <col min="9484" max="9484" width="6.85546875" style="152" bestFit="1" customWidth="1"/>
    <col min="9485" max="9485" width="9.140625" style="152"/>
    <col min="9486" max="9486" width="11.7109375" style="152" bestFit="1" customWidth="1"/>
    <col min="9487" max="9487" width="12" style="152" bestFit="1" customWidth="1"/>
    <col min="9488" max="9488" width="11.7109375" style="152" bestFit="1" customWidth="1"/>
    <col min="9489" max="9728" width="9.140625" style="152"/>
    <col min="9729" max="9729" width="22.7109375" style="152" customWidth="1"/>
    <col min="9730" max="9730" width="12.5703125" style="152" bestFit="1" customWidth="1"/>
    <col min="9731" max="9731" width="12" style="152" bestFit="1" customWidth="1"/>
    <col min="9732" max="9732" width="7.140625" style="152" bestFit="1" customWidth="1"/>
    <col min="9733" max="9733" width="12" style="152" bestFit="1" customWidth="1"/>
    <col min="9734" max="9734" width="6.42578125" style="152" bestFit="1" customWidth="1"/>
    <col min="9735" max="9735" width="12" style="152" bestFit="1" customWidth="1"/>
    <col min="9736" max="9736" width="8.28515625" style="152" bestFit="1" customWidth="1"/>
    <col min="9737" max="9737" width="12" style="152" bestFit="1" customWidth="1"/>
    <col min="9738" max="9738" width="8.7109375" style="152" customWidth="1"/>
    <col min="9739" max="9739" width="12.5703125" style="152" bestFit="1" customWidth="1"/>
    <col min="9740" max="9740" width="6.85546875" style="152" bestFit="1" customWidth="1"/>
    <col min="9741" max="9741" width="9.140625" style="152"/>
    <col min="9742" max="9742" width="11.7109375" style="152" bestFit="1" customWidth="1"/>
    <col min="9743" max="9743" width="12" style="152" bestFit="1" customWidth="1"/>
    <col min="9744" max="9744" width="11.7109375" style="152" bestFit="1" customWidth="1"/>
    <col min="9745" max="9984" width="9.140625" style="152"/>
    <col min="9985" max="9985" width="22.7109375" style="152" customWidth="1"/>
    <col min="9986" max="9986" width="12.5703125" style="152" bestFit="1" customWidth="1"/>
    <col min="9987" max="9987" width="12" style="152" bestFit="1" customWidth="1"/>
    <col min="9988" max="9988" width="7.140625" style="152" bestFit="1" customWidth="1"/>
    <col min="9989" max="9989" width="12" style="152" bestFit="1" customWidth="1"/>
    <col min="9990" max="9990" width="6.42578125" style="152" bestFit="1" customWidth="1"/>
    <col min="9991" max="9991" width="12" style="152" bestFit="1" customWidth="1"/>
    <col min="9992" max="9992" width="8.28515625" style="152" bestFit="1" customWidth="1"/>
    <col min="9993" max="9993" width="12" style="152" bestFit="1" customWidth="1"/>
    <col min="9994" max="9994" width="8.7109375" style="152" customWidth="1"/>
    <col min="9995" max="9995" width="12.5703125" style="152" bestFit="1" customWidth="1"/>
    <col min="9996" max="9996" width="6.85546875" style="152" bestFit="1" customWidth="1"/>
    <col min="9997" max="9997" width="9.140625" style="152"/>
    <col min="9998" max="9998" width="11.7109375" style="152" bestFit="1" customWidth="1"/>
    <col min="9999" max="9999" width="12" style="152" bestFit="1" customWidth="1"/>
    <col min="10000" max="10000" width="11.7109375" style="152" bestFit="1" customWidth="1"/>
    <col min="10001" max="10240" width="9.140625" style="152"/>
    <col min="10241" max="10241" width="22.7109375" style="152" customWidth="1"/>
    <col min="10242" max="10242" width="12.5703125" style="152" bestFit="1" customWidth="1"/>
    <col min="10243" max="10243" width="12" style="152" bestFit="1" customWidth="1"/>
    <col min="10244" max="10244" width="7.140625" style="152" bestFit="1" customWidth="1"/>
    <col min="10245" max="10245" width="12" style="152" bestFit="1" customWidth="1"/>
    <col min="10246" max="10246" width="6.42578125" style="152" bestFit="1" customWidth="1"/>
    <col min="10247" max="10247" width="12" style="152" bestFit="1" customWidth="1"/>
    <col min="10248" max="10248" width="8.28515625" style="152" bestFit="1" customWidth="1"/>
    <col min="10249" max="10249" width="12" style="152" bestFit="1" customWidth="1"/>
    <col min="10250" max="10250" width="8.7109375" style="152" customWidth="1"/>
    <col min="10251" max="10251" width="12.5703125" style="152" bestFit="1" customWidth="1"/>
    <col min="10252" max="10252" width="6.85546875" style="152" bestFit="1" customWidth="1"/>
    <col min="10253" max="10253" width="9.140625" style="152"/>
    <col min="10254" max="10254" width="11.7109375" style="152" bestFit="1" customWidth="1"/>
    <col min="10255" max="10255" width="12" style="152" bestFit="1" customWidth="1"/>
    <col min="10256" max="10256" width="11.7109375" style="152" bestFit="1" customWidth="1"/>
    <col min="10257" max="10496" width="9.140625" style="152"/>
    <col min="10497" max="10497" width="22.7109375" style="152" customWidth="1"/>
    <col min="10498" max="10498" width="12.5703125" style="152" bestFit="1" customWidth="1"/>
    <col min="10499" max="10499" width="12" style="152" bestFit="1" customWidth="1"/>
    <col min="10500" max="10500" width="7.140625" style="152" bestFit="1" customWidth="1"/>
    <col min="10501" max="10501" width="12" style="152" bestFit="1" customWidth="1"/>
    <col min="10502" max="10502" width="6.42578125" style="152" bestFit="1" customWidth="1"/>
    <col min="10503" max="10503" width="12" style="152" bestFit="1" customWidth="1"/>
    <col min="10504" max="10504" width="8.28515625" style="152" bestFit="1" customWidth="1"/>
    <col min="10505" max="10505" width="12" style="152" bestFit="1" customWidth="1"/>
    <col min="10506" max="10506" width="8.7109375" style="152" customWidth="1"/>
    <col min="10507" max="10507" width="12.5703125" style="152" bestFit="1" customWidth="1"/>
    <col min="10508" max="10508" width="6.85546875" style="152" bestFit="1" customWidth="1"/>
    <col min="10509" max="10509" width="9.140625" style="152"/>
    <col min="10510" max="10510" width="11.7109375" style="152" bestFit="1" customWidth="1"/>
    <col min="10511" max="10511" width="12" style="152" bestFit="1" customWidth="1"/>
    <col min="10512" max="10512" width="11.7109375" style="152" bestFit="1" customWidth="1"/>
    <col min="10513" max="10752" width="9.140625" style="152"/>
    <col min="10753" max="10753" width="22.7109375" style="152" customWidth="1"/>
    <col min="10754" max="10754" width="12.5703125" style="152" bestFit="1" customWidth="1"/>
    <col min="10755" max="10755" width="12" style="152" bestFit="1" customWidth="1"/>
    <col min="10756" max="10756" width="7.140625" style="152" bestFit="1" customWidth="1"/>
    <col min="10757" max="10757" width="12" style="152" bestFit="1" customWidth="1"/>
    <col min="10758" max="10758" width="6.42578125" style="152" bestFit="1" customWidth="1"/>
    <col min="10759" max="10759" width="12" style="152" bestFit="1" customWidth="1"/>
    <col min="10760" max="10760" width="8.28515625" style="152" bestFit="1" customWidth="1"/>
    <col min="10761" max="10761" width="12" style="152" bestFit="1" customWidth="1"/>
    <col min="10762" max="10762" width="8.7109375" style="152" customWidth="1"/>
    <col min="10763" max="10763" width="12.5703125" style="152" bestFit="1" customWidth="1"/>
    <col min="10764" max="10764" width="6.85546875" style="152" bestFit="1" customWidth="1"/>
    <col min="10765" max="10765" width="9.140625" style="152"/>
    <col min="10766" max="10766" width="11.7109375" style="152" bestFit="1" customWidth="1"/>
    <col min="10767" max="10767" width="12" style="152" bestFit="1" customWidth="1"/>
    <col min="10768" max="10768" width="11.7109375" style="152" bestFit="1" customWidth="1"/>
    <col min="10769" max="11008" width="9.140625" style="152"/>
    <col min="11009" max="11009" width="22.7109375" style="152" customWidth="1"/>
    <col min="11010" max="11010" width="12.5703125" style="152" bestFit="1" customWidth="1"/>
    <col min="11011" max="11011" width="12" style="152" bestFit="1" customWidth="1"/>
    <col min="11012" max="11012" width="7.140625" style="152" bestFit="1" customWidth="1"/>
    <col min="11013" max="11013" width="12" style="152" bestFit="1" customWidth="1"/>
    <col min="11014" max="11014" width="6.42578125" style="152" bestFit="1" customWidth="1"/>
    <col min="11015" max="11015" width="12" style="152" bestFit="1" customWidth="1"/>
    <col min="11016" max="11016" width="8.28515625" style="152" bestFit="1" customWidth="1"/>
    <col min="11017" max="11017" width="12" style="152" bestFit="1" customWidth="1"/>
    <col min="11018" max="11018" width="8.7109375" style="152" customWidth="1"/>
    <col min="11019" max="11019" width="12.5703125" style="152" bestFit="1" customWidth="1"/>
    <col min="11020" max="11020" width="6.85546875" style="152" bestFit="1" customWidth="1"/>
    <col min="11021" max="11021" width="9.140625" style="152"/>
    <col min="11022" max="11022" width="11.7109375" style="152" bestFit="1" customWidth="1"/>
    <col min="11023" max="11023" width="12" style="152" bestFit="1" customWidth="1"/>
    <col min="11024" max="11024" width="11.7109375" style="152" bestFit="1" customWidth="1"/>
    <col min="11025" max="11264" width="9.140625" style="152"/>
    <col min="11265" max="11265" width="22.7109375" style="152" customWidth="1"/>
    <col min="11266" max="11266" width="12.5703125" style="152" bestFit="1" customWidth="1"/>
    <col min="11267" max="11267" width="12" style="152" bestFit="1" customWidth="1"/>
    <col min="11268" max="11268" width="7.140625" style="152" bestFit="1" customWidth="1"/>
    <col min="11269" max="11269" width="12" style="152" bestFit="1" customWidth="1"/>
    <col min="11270" max="11270" width="6.42578125" style="152" bestFit="1" customWidth="1"/>
    <col min="11271" max="11271" width="12" style="152" bestFit="1" customWidth="1"/>
    <col min="11272" max="11272" width="8.28515625" style="152" bestFit="1" customWidth="1"/>
    <col min="11273" max="11273" width="12" style="152" bestFit="1" customWidth="1"/>
    <col min="11274" max="11274" width="8.7109375" style="152" customWidth="1"/>
    <col min="11275" max="11275" width="12.5703125" style="152" bestFit="1" customWidth="1"/>
    <col min="11276" max="11276" width="6.85546875" style="152" bestFit="1" customWidth="1"/>
    <col min="11277" max="11277" width="9.140625" style="152"/>
    <col min="11278" max="11278" width="11.7109375" style="152" bestFit="1" customWidth="1"/>
    <col min="11279" max="11279" width="12" style="152" bestFit="1" customWidth="1"/>
    <col min="11280" max="11280" width="11.7109375" style="152" bestFit="1" customWidth="1"/>
    <col min="11281" max="11520" width="9.140625" style="152"/>
    <col min="11521" max="11521" width="22.7109375" style="152" customWidth="1"/>
    <col min="11522" max="11522" width="12.5703125" style="152" bestFit="1" customWidth="1"/>
    <col min="11523" max="11523" width="12" style="152" bestFit="1" customWidth="1"/>
    <col min="11524" max="11524" width="7.140625" style="152" bestFit="1" customWidth="1"/>
    <col min="11525" max="11525" width="12" style="152" bestFit="1" customWidth="1"/>
    <col min="11526" max="11526" width="6.42578125" style="152" bestFit="1" customWidth="1"/>
    <col min="11527" max="11527" width="12" style="152" bestFit="1" customWidth="1"/>
    <col min="11528" max="11528" width="8.28515625" style="152" bestFit="1" customWidth="1"/>
    <col min="11529" max="11529" width="12" style="152" bestFit="1" customWidth="1"/>
    <col min="11530" max="11530" width="8.7109375" style="152" customWidth="1"/>
    <col min="11531" max="11531" width="12.5703125" style="152" bestFit="1" customWidth="1"/>
    <col min="11532" max="11532" width="6.85546875" style="152" bestFit="1" customWidth="1"/>
    <col min="11533" max="11533" width="9.140625" style="152"/>
    <col min="11534" max="11534" width="11.7109375" style="152" bestFit="1" customWidth="1"/>
    <col min="11535" max="11535" width="12" style="152" bestFit="1" customWidth="1"/>
    <col min="11536" max="11536" width="11.7109375" style="152" bestFit="1" customWidth="1"/>
    <col min="11537" max="11776" width="9.140625" style="152"/>
    <col min="11777" max="11777" width="22.7109375" style="152" customWidth="1"/>
    <col min="11778" max="11778" width="12.5703125" style="152" bestFit="1" customWidth="1"/>
    <col min="11779" max="11779" width="12" style="152" bestFit="1" customWidth="1"/>
    <col min="11780" max="11780" width="7.140625" style="152" bestFit="1" customWidth="1"/>
    <col min="11781" max="11781" width="12" style="152" bestFit="1" customWidth="1"/>
    <col min="11782" max="11782" width="6.42578125" style="152" bestFit="1" customWidth="1"/>
    <col min="11783" max="11783" width="12" style="152" bestFit="1" customWidth="1"/>
    <col min="11784" max="11784" width="8.28515625" style="152" bestFit="1" customWidth="1"/>
    <col min="11785" max="11785" width="12" style="152" bestFit="1" customWidth="1"/>
    <col min="11786" max="11786" width="8.7109375" style="152" customWidth="1"/>
    <col min="11787" max="11787" width="12.5703125" style="152" bestFit="1" customWidth="1"/>
    <col min="11788" max="11788" width="6.85546875" style="152" bestFit="1" customWidth="1"/>
    <col min="11789" max="11789" width="9.140625" style="152"/>
    <col min="11790" max="11790" width="11.7109375" style="152" bestFit="1" customWidth="1"/>
    <col min="11791" max="11791" width="12" style="152" bestFit="1" customWidth="1"/>
    <col min="11792" max="11792" width="11.7109375" style="152" bestFit="1" customWidth="1"/>
    <col min="11793" max="12032" width="9.140625" style="152"/>
    <col min="12033" max="12033" width="22.7109375" style="152" customWidth="1"/>
    <col min="12034" max="12034" width="12.5703125" style="152" bestFit="1" customWidth="1"/>
    <col min="12035" max="12035" width="12" style="152" bestFit="1" customWidth="1"/>
    <col min="12036" max="12036" width="7.140625" style="152" bestFit="1" customWidth="1"/>
    <col min="12037" max="12037" width="12" style="152" bestFit="1" customWidth="1"/>
    <col min="12038" max="12038" width="6.42578125" style="152" bestFit="1" customWidth="1"/>
    <col min="12039" max="12039" width="12" style="152" bestFit="1" customWidth="1"/>
    <col min="12040" max="12040" width="8.28515625" style="152" bestFit="1" customWidth="1"/>
    <col min="12041" max="12041" width="12" style="152" bestFit="1" customWidth="1"/>
    <col min="12042" max="12042" width="8.7109375" style="152" customWidth="1"/>
    <col min="12043" max="12043" width="12.5703125" style="152" bestFit="1" customWidth="1"/>
    <col min="12044" max="12044" width="6.85546875" style="152" bestFit="1" customWidth="1"/>
    <col min="12045" max="12045" width="9.140625" style="152"/>
    <col min="12046" max="12046" width="11.7109375" style="152" bestFit="1" customWidth="1"/>
    <col min="12047" max="12047" width="12" style="152" bestFit="1" customWidth="1"/>
    <col min="12048" max="12048" width="11.7109375" style="152" bestFit="1" customWidth="1"/>
    <col min="12049" max="12288" width="9.140625" style="152"/>
    <col min="12289" max="12289" width="22.7109375" style="152" customWidth="1"/>
    <col min="12290" max="12290" width="12.5703125" style="152" bestFit="1" customWidth="1"/>
    <col min="12291" max="12291" width="12" style="152" bestFit="1" customWidth="1"/>
    <col min="12292" max="12292" width="7.140625" style="152" bestFit="1" customWidth="1"/>
    <col min="12293" max="12293" width="12" style="152" bestFit="1" customWidth="1"/>
    <col min="12294" max="12294" width="6.42578125" style="152" bestFit="1" customWidth="1"/>
    <col min="12295" max="12295" width="12" style="152" bestFit="1" customWidth="1"/>
    <col min="12296" max="12296" width="8.28515625" style="152" bestFit="1" customWidth="1"/>
    <col min="12297" max="12297" width="12" style="152" bestFit="1" customWidth="1"/>
    <col min="12298" max="12298" width="8.7109375" style="152" customWidth="1"/>
    <col min="12299" max="12299" width="12.5703125" style="152" bestFit="1" customWidth="1"/>
    <col min="12300" max="12300" width="6.85546875" style="152" bestFit="1" customWidth="1"/>
    <col min="12301" max="12301" width="9.140625" style="152"/>
    <col min="12302" max="12302" width="11.7109375" style="152" bestFit="1" customWidth="1"/>
    <col min="12303" max="12303" width="12" style="152" bestFit="1" customWidth="1"/>
    <col min="12304" max="12304" width="11.7109375" style="152" bestFit="1" customWidth="1"/>
    <col min="12305" max="12544" width="9.140625" style="152"/>
    <col min="12545" max="12545" width="22.7109375" style="152" customWidth="1"/>
    <col min="12546" max="12546" width="12.5703125" style="152" bestFit="1" customWidth="1"/>
    <col min="12547" max="12547" width="12" style="152" bestFit="1" customWidth="1"/>
    <col min="12548" max="12548" width="7.140625" style="152" bestFit="1" customWidth="1"/>
    <col min="12549" max="12549" width="12" style="152" bestFit="1" customWidth="1"/>
    <col min="12550" max="12550" width="6.42578125" style="152" bestFit="1" customWidth="1"/>
    <col min="12551" max="12551" width="12" style="152" bestFit="1" customWidth="1"/>
    <col min="12552" max="12552" width="8.28515625" style="152" bestFit="1" customWidth="1"/>
    <col min="12553" max="12553" width="12" style="152" bestFit="1" customWidth="1"/>
    <col min="12554" max="12554" width="8.7109375" style="152" customWidth="1"/>
    <col min="12555" max="12555" width="12.5703125" style="152" bestFit="1" customWidth="1"/>
    <col min="12556" max="12556" width="6.85546875" style="152" bestFit="1" customWidth="1"/>
    <col min="12557" max="12557" width="9.140625" style="152"/>
    <col min="12558" max="12558" width="11.7109375" style="152" bestFit="1" customWidth="1"/>
    <col min="12559" max="12559" width="12" style="152" bestFit="1" customWidth="1"/>
    <col min="12560" max="12560" width="11.7109375" style="152" bestFit="1" customWidth="1"/>
    <col min="12561" max="12800" width="9.140625" style="152"/>
    <col min="12801" max="12801" width="22.7109375" style="152" customWidth="1"/>
    <col min="12802" max="12802" width="12.5703125" style="152" bestFit="1" customWidth="1"/>
    <col min="12803" max="12803" width="12" style="152" bestFit="1" customWidth="1"/>
    <col min="12804" max="12804" width="7.140625" style="152" bestFit="1" customWidth="1"/>
    <col min="12805" max="12805" width="12" style="152" bestFit="1" customWidth="1"/>
    <col min="12806" max="12806" width="6.42578125" style="152" bestFit="1" customWidth="1"/>
    <col min="12807" max="12807" width="12" style="152" bestFit="1" customWidth="1"/>
    <col min="12808" max="12808" width="8.28515625" style="152" bestFit="1" customWidth="1"/>
    <col min="12809" max="12809" width="12" style="152" bestFit="1" customWidth="1"/>
    <col min="12810" max="12810" width="8.7109375" style="152" customWidth="1"/>
    <col min="12811" max="12811" width="12.5703125" style="152" bestFit="1" customWidth="1"/>
    <col min="12812" max="12812" width="6.85546875" style="152" bestFit="1" customWidth="1"/>
    <col min="12813" max="12813" width="9.140625" style="152"/>
    <col min="12814" max="12814" width="11.7109375" style="152" bestFit="1" customWidth="1"/>
    <col min="12815" max="12815" width="12" style="152" bestFit="1" customWidth="1"/>
    <col min="12816" max="12816" width="11.7109375" style="152" bestFit="1" customWidth="1"/>
    <col min="12817" max="13056" width="9.140625" style="152"/>
    <col min="13057" max="13057" width="22.7109375" style="152" customWidth="1"/>
    <col min="13058" max="13058" width="12.5703125" style="152" bestFit="1" customWidth="1"/>
    <col min="13059" max="13059" width="12" style="152" bestFit="1" customWidth="1"/>
    <col min="13060" max="13060" width="7.140625" style="152" bestFit="1" customWidth="1"/>
    <col min="13061" max="13061" width="12" style="152" bestFit="1" customWidth="1"/>
    <col min="13062" max="13062" width="6.42578125" style="152" bestFit="1" customWidth="1"/>
    <col min="13063" max="13063" width="12" style="152" bestFit="1" customWidth="1"/>
    <col min="13064" max="13064" width="8.28515625" style="152" bestFit="1" customWidth="1"/>
    <col min="13065" max="13065" width="12" style="152" bestFit="1" customWidth="1"/>
    <col min="13066" max="13066" width="8.7109375" style="152" customWidth="1"/>
    <col min="13067" max="13067" width="12.5703125" style="152" bestFit="1" customWidth="1"/>
    <col min="13068" max="13068" width="6.85546875" style="152" bestFit="1" customWidth="1"/>
    <col min="13069" max="13069" width="9.140625" style="152"/>
    <col min="13070" max="13070" width="11.7109375" style="152" bestFit="1" customWidth="1"/>
    <col min="13071" max="13071" width="12" style="152" bestFit="1" customWidth="1"/>
    <col min="13072" max="13072" width="11.7109375" style="152" bestFit="1" customWidth="1"/>
    <col min="13073" max="13312" width="9.140625" style="152"/>
    <col min="13313" max="13313" width="22.7109375" style="152" customWidth="1"/>
    <col min="13314" max="13314" width="12.5703125" style="152" bestFit="1" customWidth="1"/>
    <col min="13315" max="13315" width="12" style="152" bestFit="1" customWidth="1"/>
    <col min="13316" max="13316" width="7.140625" style="152" bestFit="1" customWidth="1"/>
    <col min="13317" max="13317" width="12" style="152" bestFit="1" customWidth="1"/>
    <col min="13318" max="13318" width="6.42578125" style="152" bestFit="1" customWidth="1"/>
    <col min="13319" max="13319" width="12" style="152" bestFit="1" customWidth="1"/>
    <col min="13320" max="13320" width="8.28515625" style="152" bestFit="1" customWidth="1"/>
    <col min="13321" max="13321" width="12" style="152" bestFit="1" customWidth="1"/>
    <col min="13322" max="13322" width="8.7109375" style="152" customWidth="1"/>
    <col min="13323" max="13323" width="12.5703125" style="152" bestFit="1" customWidth="1"/>
    <col min="13324" max="13324" width="6.85546875" style="152" bestFit="1" customWidth="1"/>
    <col min="13325" max="13325" width="9.140625" style="152"/>
    <col min="13326" max="13326" width="11.7109375" style="152" bestFit="1" customWidth="1"/>
    <col min="13327" max="13327" width="12" style="152" bestFit="1" customWidth="1"/>
    <col min="13328" max="13328" width="11.7109375" style="152" bestFit="1" customWidth="1"/>
    <col min="13329" max="13568" width="9.140625" style="152"/>
    <col min="13569" max="13569" width="22.7109375" style="152" customWidth="1"/>
    <col min="13570" max="13570" width="12.5703125" style="152" bestFit="1" customWidth="1"/>
    <col min="13571" max="13571" width="12" style="152" bestFit="1" customWidth="1"/>
    <col min="13572" max="13572" width="7.140625" style="152" bestFit="1" customWidth="1"/>
    <col min="13573" max="13573" width="12" style="152" bestFit="1" customWidth="1"/>
    <col min="13574" max="13574" width="6.42578125" style="152" bestFit="1" customWidth="1"/>
    <col min="13575" max="13575" width="12" style="152" bestFit="1" customWidth="1"/>
    <col min="13576" max="13576" width="8.28515625" style="152" bestFit="1" customWidth="1"/>
    <col min="13577" max="13577" width="12" style="152" bestFit="1" customWidth="1"/>
    <col min="13578" max="13578" width="8.7109375" style="152" customWidth="1"/>
    <col min="13579" max="13579" width="12.5703125" style="152" bestFit="1" customWidth="1"/>
    <col min="13580" max="13580" width="6.85546875" style="152" bestFit="1" customWidth="1"/>
    <col min="13581" max="13581" width="9.140625" style="152"/>
    <col min="13582" max="13582" width="11.7109375" style="152" bestFit="1" customWidth="1"/>
    <col min="13583" max="13583" width="12" style="152" bestFit="1" customWidth="1"/>
    <col min="13584" max="13584" width="11.7109375" style="152" bestFit="1" customWidth="1"/>
    <col min="13585" max="13824" width="9.140625" style="152"/>
    <col min="13825" max="13825" width="22.7109375" style="152" customWidth="1"/>
    <col min="13826" max="13826" width="12.5703125" style="152" bestFit="1" customWidth="1"/>
    <col min="13827" max="13827" width="12" style="152" bestFit="1" customWidth="1"/>
    <col min="13828" max="13828" width="7.140625" style="152" bestFit="1" customWidth="1"/>
    <col min="13829" max="13829" width="12" style="152" bestFit="1" customWidth="1"/>
    <col min="13830" max="13830" width="6.42578125" style="152" bestFit="1" customWidth="1"/>
    <col min="13831" max="13831" width="12" style="152" bestFit="1" customWidth="1"/>
    <col min="13832" max="13832" width="8.28515625" style="152" bestFit="1" customWidth="1"/>
    <col min="13833" max="13833" width="12" style="152" bestFit="1" customWidth="1"/>
    <col min="13834" max="13834" width="8.7109375" style="152" customWidth="1"/>
    <col min="13835" max="13835" width="12.5703125" style="152" bestFit="1" customWidth="1"/>
    <col min="13836" max="13836" width="6.85546875" style="152" bestFit="1" customWidth="1"/>
    <col min="13837" max="13837" width="9.140625" style="152"/>
    <col min="13838" max="13838" width="11.7109375" style="152" bestFit="1" customWidth="1"/>
    <col min="13839" max="13839" width="12" style="152" bestFit="1" customWidth="1"/>
    <col min="13840" max="13840" width="11.7109375" style="152" bestFit="1" customWidth="1"/>
    <col min="13841" max="14080" width="9.140625" style="152"/>
    <col min="14081" max="14081" width="22.7109375" style="152" customWidth="1"/>
    <col min="14082" max="14082" width="12.5703125" style="152" bestFit="1" customWidth="1"/>
    <col min="14083" max="14083" width="12" style="152" bestFit="1" customWidth="1"/>
    <col min="14084" max="14084" width="7.140625" style="152" bestFit="1" customWidth="1"/>
    <col min="14085" max="14085" width="12" style="152" bestFit="1" customWidth="1"/>
    <col min="14086" max="14086" width="6.42578125" style="152" bestFit="1" customWidth="1"/>
    <col min="14087" max="14087" width="12" style="152" bestFit="1" customWidth="1"/>
    <col min="14088" max="14088" width="8.28515625" style="152" bestFit="1" customWidth="1"/>
    <col min="14089" max="14089" width="12" style="152" bestFit="1" customWidth="1"/>
    <col min="14090" max="14090" width="8.7109375" style="152" customWidth="1"/>
    <col min="14091" max="14091" width="12.5703125" style="152" bestFit="1" customWidth="1"/>
    <col min="14092" max="14092" width="6.85546875" style="152" bestFit="1" customWidth="1"/>
    <col min="14093" max="14093" width="9.140625" style="152"/>
    <col min="14094" max="14094" width="11.7109375" style="152" bestFit="1" customWidth="1"/>
    <col min="14095" max="14095" width="12" style="152" bestFit="1" customWidth="1"/>
    <col min="14096" max="14096" width="11.7109375" style="152" bestFit="1" customWidth="1"/>
    <col min="14097" max="14336" width="9.140625" style="152"/>
    <col min="14337" max="14337" width="22.7109375" style="152" customWidth="1"/>
    <col min="14338" max="14338" width="12.5703125" style="152" bestFit="1" customWidth="1"/>
    <col min="14339" max="14339" width="12" style="152" bestFit="1" customWidth="1"/>
    <col min="14340" max="14340" width="7.140625" style="152" bestFit="1" customWidth="1"/>
    <col min="14341" max="14341" width="12" style="152" bestFit="1" customWidth="1"/>
    <col min="14342" max="14342" width="6.42578125" style="152" bestFit="1" customWidth="1"/>
    <col min="14343" max="14343" width="12" style="152" bestFit="1" customWidth="1"/>
    <col min="14344" max="14344" width="8.28515625" style="152" bestFit="1" customWidth="1"/>
    <col min="14345" max="14345" width="12" style="152" bestFit="1" customWidth="1"/>
    <col min="14346" max="14346" width="8.7109375" style="152" customWidth="1"/>
    <col min="14347" max="14347" width="12.5703125" style="152" bestFit="1" customWidth="1"/>
    <col min="14348" max="14348" width="6.85546875" style="152" bestFit="1" customWidth="1"/>
    <col min="14349" max="14349" width="9.140625" style="152"/>
    <col min="14350" max="14350" width="11.7109375" style="152" bestFit="1" customWidth="1"/>
    <col min="14351" max="14351" width="12" style="152" bestFit="1" customWidth="1"/>
    <col min="14352" max="14352" width="11.7109375" style="152" bestFit="1" customWidth="1"/>
    <col min="14353" max="14592" width="9.140625" style="152"/>
    <col min="14593" max="14593" width="22.7109375" style="152" customWidth="1"/>
    <col min="14594" max="14594" width="12.5703125" style="152" bestFit="1" customWidth="1"/>
    <col min="14595" max="14595" width="12" style="152" bestFit="1" customWidth="1"/>
    <col min="14596" max="14596" width="7.140625" style="152" bestFit="1" customWidth="1"/>
    <col min="14597" max="14597" width="12" style="152" bestFit="1" customWidth="1"/>
    <col min="14598" max="14598" width="6.42578125" style="152" bestFit="1" customWidth="1"/>
    <col min="14599" max="14599" width="12" style="152" bestFit="1" customWidth="1"/>
    <col min="14600" max="14600" width="8.28515625" style="152" bestFit="1" customWidth="1"/>
    <col min="14601" max="14601" width="12" style="152" bestFit="1" customWidth="1"/>
    <col min="14602" max="14602" width="8.7109375" style="152" customWidth="1"/>
    <col min="14603" max="14603" width="12.5703125" style="152" bestFit="1" customWidth="1"/>
    <col min="14604" max="14604" width="6.85546875" style="152" bestFit="1" customWidth="1"/>
    <col min="14605" max="14605" width="9.140625" style="152"/>
    <col min="14606" max="14606" width="11.7109375" style="152" bestFit="1" customWidth="1"/>
    <col min="14607" max="14607" width="12" style="152" bestFit="1" customWidth="1"/>
    <col min="14608" max="14608" width="11.7109375" style="152" bestFit="1" customWidth="1"/>
    <col min="14609" max="14848" width="9.140625" style="152"/>
    <col min="14849" max="14849" width="22.7109375" style="152" customWidth="1"/>
    <col min="14850" max="14850" width="12.5703125" style="152" bestFit="1" customWidth="1"/>
    <col min="14851" max="14851" width="12" style="152" bestFit="1" customWidth="1"/>
    <col min="14852" max="14852" width="7.140625" style="152" bestFit="1" customWidth="1"/>
    <col min="14853" max="14853" width="12" style="152" bestFit="1" customWidth="1"/>
    <col min="14854" max="14854" width="6.42578125" style="152" bestFit="1" customWidth="1"/>
    <col min="14855" max="14855" width="12" style="152" bestFit="1" customWidth="1"/>
    <col min="14856" max="14856" width="8.28515625" style="152" bestFit="1" customWidth="1"/>
    <col min="14857" max="14857" width="12" style="152" bestFit="1" customWidth="1"/>
    <col min="14858" max="14858" width="8.7109375" style="152" customWidth="1"/>
    <col min="14859" max="14859" width="12.5703125" style="152" bestFit="1" customWidth="1"/>
    <col min="14860" max="14860" width="6.85546875" style="152" bestFit="1" customWidth="1"/>
    <col min="14861" max="14861" width="9.140625" style="152"/>
    <col min="14862" max="14862" width="11.7109375" style="152" bestFit="1" customWidth="1"/>
    <col min="14863" max="14863" width="12" style="152" bestFit="1" customWidth="1"/>
    <col min="14864" max="14864" width="11.7109375" style="152" bestFit="1" customWidth="1"/>
    <col min="14865" max="15104" width="9.140625" style="152"/>
    <col min="15105" max="15105" width="22.7109375" style="152" customWidth="1"/>
    <col min="15106" max="15106" width="12.5703125" style="152" bestFit="1" customWidth="1"/>
    <col min="15107" max="15107" width="12" style="152" bestFit="1" customWidth="1"/>
    <col min="15108" max="15108" width="7.140625" style="152" bestFit="1" customWidth="1"/>
    <col min="15109" max="15109" width="12" style="152" bestFit="1" customWidth="1"/>
    <col min="15110" max="15110" width="6.42578125" style="152" bestFit="1" customWidth="1"/>
    <col min="15111" max="15111" width="12" style="152" bestFit="1" customWidth="1"/>
    <col min="15112" max="15112" width="8.28515625" style="152" bestFit="1" customWidth="1"/>
    <col min="15113" max="15113" width="12" style="152" bestFit="1" customWidth="1"/>
    <col min="15114" max="15114" width="8.7109375" style="152" customWidth="1"/>
    <col min="15115" max="15115" width="12.5703125" style="152" bestFit="1" customWidth="1"/>
    <col min="15116" max="15116" width="6.85546875" style="152" bestFit="1" customWidth="1"/>
    <col min="15117" max="15117" width="9.140625" style="152"/>
    <col min="15118" max="15118" width="11.7109375" style="152" bestFit="1" customWidth="1"/>
    <col min="15119" max="15119" width="12" style="152" bestFit="1" customWidth="1"/>
    <col min="15120" max="15120" width="11.7109375" style="152" bestFit="1" customWidth="1"/>
    <col min="15121" max="15360" width="9.140625" style="152"/>
    <col min="15361" max="15361" width="22.7109375" style="152" customWidth="1"/>
    <col min="15362" max="15362" width="12.5703125" style="152" bestFit="1" customWidth="1"/>
    <col min="15363" max="15363" width="12" style="152" bestFit="1" customWidth="1"/>
    <col min="15364" max="15364" width="7.140625" style="152" bestFit="1" customWidth="1"/>
    <col min="15365" max="15365" width="12" style="152" bestFit="1" customWidth="1"/>
    <col min="15366" max="15366" width="6.42578125" style="152" bestFit="1" customWidth="1"/>
    <col min="15367" max="15367" width="12" style="152" bestFit="1" customWidth="1"/>
    <col min="15368" max="15368" width="8.28515625" style="152" bestFit="1" customWidth="1"/>
    <col min="15369" max="15369" width="12" style="152" bestFit="1" customWidth="1"/>
    <col min="15370" max="15370" width="8.7109375" style="152" customWidth="1"/>
    <col min="15371" max="15371" width="12.5703125" style="152" bestFit="1" customWidth="1"/>
    <col min="15372" max="15372" width="6.85546875" style="152" bestFit="1" customWidth="1"/>
    <col min="15373" max="15373" width="9.140625" style="152"/>
    <col min="15374" max="15374" width="11.7109375" style="152" bestFit="1" customWidth="1"/>
    <col min="15375" max="15375" width="12" style="152" bestFit="1" customWidth="1"/>
    <col min="15376" max="15376" width="11.7109375" style="152" bestFit="1" customWidth="1"/>
    <col min="15377" max="15616" width="9.140625" style="152"/>
    <col min="15617" max="15617" width="22.7109375" style="152" customWidth="1"/>
    <col min="15618" max="15618" width="12.5703125" style="152" bestFit="1" customWidth="1"/>
    <col min="15619" max="15619" width="12" style="152" bestFit="1" customWidth="1"/>
    <col min="15620" max="15620" width="7.140625" style="152" bestFit="1" customWidth="1"/>
    <col min="15621" max="15621" width="12" style="152" bestFit="1" customWidth="1"/>
    <col min="15622" max="15622" width="6.42578125" style="152" bestFit="1" customWidth="1"/>
    <col min="15623" max="15623" width="12" style="152" bestFit="1" customWidth="1"/>
    <col min="15624" max="15624" width="8.28515625" style="152" bestFit="1" customWidth="1"/>
    <col min="15625" max="15625" width="12" style="152" bestFit="1" customWidth="1"/>
    <col min="15626" max="15626" width="8.7109375" style="152" customWidth="1"/>
    <col min="15627" max="15627" width="12.5703125" style="152" bestFit="1" customWidth="1"/>
    <col min="15628" max="15628" width="6.85546875" style="152" bestFit="1" customWidth="1"/>
    <col min="15629" max="15629" width="9.140625" style="152"/>
    <col min="15630" max="15630" width="11.7109375" style="152" bestFit="1" customWidth="1"/>
    <col min="15631" max="15631" width="12" style="152" bestFit="1" customWidth="1"/>
    <col min="15632" max="15632" width="11.7109375" style="152" bestFit="1" customWidth="1"/>
    <col min="15633" max="15872" width="9.140625" style="152"/>
    <col min="15873" max="15873" width="22.7109375" style="152" customWidth="1"/>
    <col min="15874" max="15874" width="12.5703125" style="152" bestFit="1" customWidth="1"/>
    <col min="15875" max="15875" width="12" style="152" bestFit="1" customWidth="1"/>
    <col min="15876" max="15876" width="7.140625" style="152" bestFit="1" customWidth="1"/>
    <col min="15877" max="15877" width="12" style="152" bestFit="1" customWidth="1"/>
    <col min="15878" max="15878" width="6.42578125" style="152" bestFit="1" customWidth="1"/>
    <col min="15879" max="15879" width="12" style="152" bestFit="1" customWidth="1"/>
    <col min="15880" max="15880" width="8.28515625" style="152" bestFit="1" customWidth="1"/>
    <col min="15881" max="15881" width="12" style="152" bestFit="1" customWidth="1"/>
    <col min="15882" max="15882" width="8.7109375" style="152" customWidth="1"/>
    <col min="15883" max="15883" width="12.5703125" style="152" bestFit="1" customWidth="1"/>
    <col min="15884" max="15884" width="6.85546875" style="152" bestFit="1" customWidth="1"/>
    <col min="15885" max="15885" width="9.140625" style="152"/>
    <col min="15886" max="15886" width="11.7109375" style="152" bestFit="1" customWidth="1"/>
    <col min="15887" max="15887" width="12" style="152" bestFit="1" customWidth="1"/>
    <col min="15888" max="15888" width="11.7109375" style="152" bestFit="1" customWidth="1"/>
    <col min="15889" max="16128" width="9.140625" style="152"/>
    <col min="16129" max="16129" width="22.7109375" style="152" customWidth="1"/>
    <col min="16130" max="16130" width="12.5703125" style="152" bestFit="1" customWidth="1"/>
    <col min="16131" max="16131" width="12" style="152" bestFit="1" customWidth="1"/>
    <col min="16132" max="16132" width="7.140625" style="152" bestFit="1" customWidth="1"/>
    <col min="16133" max="16133" width="12" style="152" bestFit="1" customWidth="1"/>
    <col min="16134" max="16134" width="6.42578125" style="152" bestFit="1" customWidth="1"/>
    <col min="16135" max="16135" width="12" style="152" bestFit="1" customWidth="1"/>
    <col min="16136" max="16136" width="8.28515625" style="152" bestFit="1" customWidth="1"/>
    <col min="16137" max="16137" width="12" style="152" bestFit="1" customWidth="1"/>
    <col min="16138" max="16138" width="8.7109375" style="152" customWidth="1"/>
    <col min="16139" max="16139" width="12.5703125" style="152" bestFit="1" customWidth="1"/>
    <col min="16140" max="16140" width="6.85546875" style="152" bestFit="1" customWidth="1"/>
    <col min="16141" max="16141" width="9.140625" style="152"/>
    <col min="16142" max="16142" width="11.7109375" style="152" bestFit="1" customWidth="1"/>
    <col min="16143" max="16143" width="12" style="152" bestFit="1" customWidth="1"/>
    <col min="16144" max="16144" width="11.7109375" style="152" bestFit="1" customWidth="1"/>
    <col min="16145" max="16384" width="9.140625" style="152"/>
  </cols>
  <sheetData>
    <row r="1" spans="1:18">
      <c r="A1" s="1" t="s">
        <v>298</v>
      </c>
      <c r="B1" s="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s="42" customFormat="1" ht="15.75">
      <c r="A2" s="467" t="s">
        <v>295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</row>
    <row r="3" spans="1:18">
      <c r="A3" s="471" t="s">
        <v>40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</row>
    <row r="4" spans="1:18">
      <c r="A4" s="471" t="s">
        <v>160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</row>
    <row r="5" spans="1:18">
      <c r="A5" s="472" t="s">
        <v>156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1:18">
      <c r="A6" s="473" t="s">
        <v>123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</row>
    <row r="7" spans="1:18">
      <c r="A7" s="474" t="s">
        <v>41</v>
      </c>
      <c r="B7" s="475"/>
      <c r="C7" s="41"/>
      <c r="D7" s="41"/>
      <c r="E7" s="41"/>
      <c r="F7" s="41"/>
      <c r="G7" s="41"/>
      <c r="H7" s="41"/>
      <c r="I7" s="41"/>
      <c r="J7" s="41"/>
      <c r="K7" s="41"/>
      <c r="L7" s="43">
        <v>1</v>
      </c>
    </row>
    <row r="8" spans="1:18">
      <c r="A8" s="44"/>
      <c r="B8" s="469" t="s">
        <v>42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</row>
    <row r="9" spans="1:18">
      <c r="A9" s="45" t="s">
        <v>4</v>
      </c>
      <c r="B9" s="46">
        <v>2018</v>
      </c>
      <c r="C9" s="47">
        <v>2019</v>
      </c>
      <c r="D9" s="48" t="s">
        <v>10</v>
      </c>
      <c r="E9" s="45">
        <v>2020</v>
      </c>
      <c r="F9" s="48" t="s">
        <v>10</v>
      </c>
      <c r="G9" s="45">
        <v>2021</v>
      </c>
      <c r="H9" s="48" t="s">
        <v>10</v>
      </c>
      <c r="I9" s="45">
        <v>2022</v>
      </c>
      <c r="J9" s="48" t="s">
        <v>10</v>
      </c>
      <c r="K9" s="45">
        <v>2023</v>
      </c>
      <c r="L9" s="47" t="s">
        <v>10</v>
      </c>
    </row>
    <row r="10" spans="1:18">
      <c r="A10" s="49"/>
      <c r="B10" s="50" t="s">
        <v>43</v>
      </c>
      <c r="C10" s="50" t="s">
        <v>44</v>
      </c>
      <c r="D10" s="51" t="s">
        <v>45</v>
      </c>
      <c r="E10" s="50" t="s">
        <v>46</v>
      </c>
      <c r="F10" s="52" t="s">
        <v>47</v>
      </c>
      <c r="G10" s="50" t="s">
        <v>48</v>
      </c>
      <c r="H10" s="52" t="s">
        <v>49</v>
      </c>
      <c r="I10" s="53" t="s">
        <v>50</v>
      </c>
      <c r="J10" s="52" t="s">
        <v>51</v>
      </c>
      <c r="K10" s="53" t="s">
        <v>52</v>
      </c>
      <c r="L10" s="50" t="s">
        <v>53</v>
      </c>
    </row>
    <row r="11" spans="1:18">
      <c r="A11" s="44" t="s">
        <v>15</v>
      </c>
      <c r="B11" s="54">
        <v>104520756.06999999</v>
      </c>
      <c r="C11" s="54">
        <v>116038290.52</v>
      </c>
      <c r="D11" s="55">
        <f>((C11-B11)/B11)*100</f>
        <v>11.019375369124235</v>
      </c>
      <c r="E11" s="29">
        <f>123865799.9</f>
        <v>123865799.90000001</v>
      </c>
      <c r="F11" s="55">
        <f>((E11-C11)/C11)*100</f>
        <v>6.7456262453736207</v>
      </c>
      <c r="G11" s="56">
        <f>145532555.55</f>
        <v>145532555.55000001</v>
      </c>
      <c r="H11" s="57">
        <f>((G11-E11)/E11)*100</f>
        <v>17.492121043493945</v>
      </c>
      <c r="I11" s="54">
        <f>163276997.43+5000000</f>
        <v>168276997.43000001</v>
      </c>
      <c r="J11" s="55">
        <f>((I11-G11)/G11)*100</f>
        <v>15.628421966510292</v>
      </c>
      <c r="K11" s="58">
        <f>I11*(1+$I$33)</f>
        <v>173745999.84647501</v>
      </c>
      <c r="L11" s="59">
        <f>((K11-I11)/I11)*100</f>
        <v>3.2499999999999987</v>
      </c>
      <c r="P11" s="155" t="s">
        <v>128</v>
      </c>
    </row>
    <row r="12" spans="1:18">
      <c r="A12" s="41" t="s">
        <v>16</v>
      </c>
      <c r="B12" s="60">
        <f>104520756.07-(4227435.69+2009602.34+10374280.53+1193303.64)</f>
        <v>86716133.86999999</v>
      </c>
      <c r="C12" s="60">
        <f>116038290.52-(5337139+1522864.55+12438685.31+235344.03)</f>
        <v>96504257.629999995</v>
      </c>
      <c r="D12" s="61">
        <f t="shared" ref="D12:D18" si="0">((C12-B12)/B12)*100</f>
        <v>11.287546299831375</v>
      </c>
      <c r="E12" s="29">
        <f>123865799.9-(49239.41+11424304.28+837429.07+3291622.6)</f>
        <v>108263204.54000001</v>
      </c>
      <c r="F12" s="61">
        <f t="shared" ref="F12:L18" si="1">((E12-C12)/C12)*100</f>
        <v>12.184899608351106</v>
      </c>
      <c r="G12" s="62">
        <f>145532555.55-(6420844.14+1751289.79+17003424.53+558100)</f>
        <v>119798897.09</v>
      </c>
      <c r="H12" s="63">
        <f>((G12-E12)/E12)*100</f>
        <v>10.655229169517058</v>
      </c>
      <c r="I12" s="64">
        <f>163276997.43-(5073153.03+31731831.03+6081.85+5000000)</f>
        <v>121465931.52000001</v>
      </c>
      <c r="J12" s="61">
        <f>((I12-G12)/G12)*100</f>
        <v>1.3915273600120313</v>
      </c>
      <c r="K12" s="65">
        <f>I12*(1+$I$33)</f>
        <v>125413574.29440001</v>
      </c>
      <c r="L12" s="66">
        <f>((K12-I12)/I12)*100</f>
        <v>3.249999999999996</v>
      </c>
      <c r="N12" s="67"/>
      <c r="O12" s="67"/>
      <c r="P12" s="156">
        <v>15562.5</v>
      </c>
      <c r="Q12" s="157">
        <v>16146.09</v>
      </c>
      <c r="R12" s="157">
        <v>16751.57</v>
      </c>
    </row>
    <row r="13" spans="1:18">
      <c r="A13" s="41" t="s">
        <v>54</v>
      </c>
      <c r="B13" s="68">
        <f>106013567.91</f>
        <v>106013567.91</v>
      </c>
      <c r="C13" s="68">
        <f>116159329.84</f>
        <v>116159329.84</v>
      </c>
      <c r="D13" s="61">
        <f t="shared" si="0"/>
        <v>9.5702485351811113</v>
      </c>
      <c r="E13" s="29">
        <f>125850237.4</f>
        <v>125850237.40000001</v>
      </c>
      <c r="F13" s="61">
        <f t="shared" si="1"/>
        <v>8.3427715822297159</v>
      </c>
      <c r="G13" s="69">
        <f>150890308.73</f>
        <v>150890308.72999999</v>
      </c>
      <c r="H13" s="63">
        <f t="shared" si="1"/>
        <v>19.896721569473957</v>
      </c>
      <c r="I13" s="64">
        <f>163276997.43+5000000</f>
        <v>168276997.43000001</v>
      </c>
      <c r="J13" s="61">
        <f t="shared" si="1"/>
        <v>11.522733862988776</v>
      </c>
      <c r="K13" s="65">
        <f>I13*(1+$I$33)</f>
        <v>173745999.84647501</v>
      </c>
      <c r="L13" s="66">
        <f t="shared" si="1"/>
        <v>3.2499999999999987</v>
      </c>
      <c r="P13" s="156">
        <v>20000</v>
      </c>
      <c r="Q13" s="156">
        <v>22620.6</v>
      </c>
      <c r="R13" s="156">
        <v>25000</v>
      </c>
    </row>
    <row r="14" spans="1:18">
      <c r="A14" s="41" t="s">
        <v>18</v>
      </c>
      <c r="B14" s="60">
        <f>106013567.91-(10453909.01+442117.01+93798.77+2643930.77)</f>
        <v>92379812.349999994</v>
      </c>
      <c r="C14" s="60">
        <f>116159329.84-(12385739.52+132841.85+10050.05+5455329.29)</f>
        <v>98175369.129999995</v>
      </c>
      <c r="D14" s="61">
        <f t="shared" si="0"/>
        <v>6.2736182641747931</v>
      </c>
      <c r="E14" s="29">
        <f>125850237.4-(16743362.48+78892.41+6959530.71)</f>
        <v>102068451.80000001</v>
      </c>
      <c r="F14" s="61">
        <f t="shared" si="1"/>
        <v>3.9654372624206262</v>
      </c>
      <c r="G14" s="60">
        <f>150890308.73-(25406440.83+76526.6+1922986+6153888.96)</f>
        <v>117330466.33999999</v>
      </c>
      <c r="H14" s="63">
        <f t="shared" si="1"/>
        <v>14.952724638074677</v>
      </c>
      <c r="I14" s="64">
        <f>163276997.43-(P21+31731831.03)</f>
        <v>130144102.90000001</v>
      </c>
      <c r="J14" s="61">
        <f t="shared" si="1"/>
        <v>10.920979827071246</v>
      </c>
      <c r="K14" s="65">
        <f>I14*(1+$I$33)</f>
        <v>134373786.24425</v>
      </c>
      <c r="L14" s="66">
        <f t="shared" si="1"/>
        <v>3.2499999999999947</v>
      </c>
      <c r="P14" s="156">
        <v>90000</v>
      </c>
      <c r="Q14" s="156">
        <v>100000</v>
      </c>
      <c r="R14" s="156">
        <v>110000</v>
      </c>
    </row>
    <row r="15" spans="1:18">
      <c r="A15" s="159" t="s">
        <v>55</v>
      </c>
      <c r="B15" s="60">
        <f>B12-B14</f>
        <v>-5663678.4800000042</v>
      </c>
      <c r="C15" s="60">
        <f>C12-C14</f>
        <v>-1671111.5</v>
      </c>
      <c r="D15" s="61">
        <f t="shared" si="0"/>
        <v>-70.494237872062286</v>
      </c>
      <c r="E15" s="60">
        <f>E12-E14</f>
        <v>6194752.7399999946</v>
      </c>
      <c r="F15" s="61">
        <f t="shared" si="1"/>
        <v>-470.69655376077503</v>
      </c>
      <c r="G15" s="60">
        <f>G12-G14</f>
        <v>2468430.7500000149</v>
      </c>
      <c r="H15" s="63">
        <f t="shared" si="1"/>
        <v>-60.152876900781408</v>
      </c>
      <c r="I15" s="60">
        <f>I12-I14</f>
        <v>-8678171.3799999952</v>
      </c>
      <c r="J15" s="61">
        <f t="shared" si="1"/>
        <v>-451.56632933696608</v>
      </c>
      <c r="K15" s="166">
        <f>K12-K14</f>
        <v>-8960211.949849993</v>
      </c>
      <c r="L15" s="66">
        <f t="shared" si="1"/>
        <v>3.249999999999976</v>
      </c>
      <c r="P15" s="156">
        <v>469500</v>
      </c>
      <c r="Q15" s="156">
        <v>519500</v>
      </c>
      <c r="R15" s="156">
        <v>569500</v>
      </c>
    </row>
    <row r="16" spans="1:18">
      <c r="A16" s="153" t="s">
        <v>120</v>
      </c>
      <c r="B16" s="68">
        <v>1868892.02</v>
      </c>
      <c r="C16" s="68">
        <v>3779299.7</v>
      </c>
      <c r="D16" s="61">
        <f t="shared" si="0"/>
        <v>102.22140495843095</v>
      </c>
      <c r="E16" s="29">
        <v>3902834.56</v>
      </c>
      <c r="F16" s="61">
        <f>((E16-C16)/C16)*100</f>
        <v>3.2687235680197539</v>
      </c>
      <c r="G16" s="62">
        <f>8859251.77</f>
        <v>8859251.7699999996</v>
      </c>
      <c r="H16" s="63">
        <f t="shared" si="1"/>
        <v>126.99531926867019</v>
      </c>
      <c r="I16" s="162"/>
      <c r="J16" s="61">
        <f t="shared" si="1"/>
        <v>-100</v>
      </c>
      <c r="K16" s="165">
        <f t="shared" ref="K16:K18" si="2">I16*(1+$I$33)</f>
        <v>0</v>
      </c>
      <c r="L16" s="66" t="e">
        <f t="shared" si="1"/>
        <v>#DIV/0!</v>
      </c>
      <c r="P16" s="156">
        <v>1001</v>
      </c>
      <c r="Q16" s="156">
        <v>3000</v>
      </c>
      <c r="R16" s="156">
        <v>5000</v>
      </c>
    </row>
    <row r="17" spans="1:18">
      <c r="A17" s="41" t="s">
        <v>56</v>
      </c>
      <c r="B17" s="68">
        <v>3587790.08</v>
      </c>
      <c r="C17" s="68">
        <v>4060309.7</v>
      </c>
      <c r="D17" s="61">
        <f t="shared" si="0"/>
        <v>13.170213682066931</v>
      </c>
      <c r="E17" s="29">
        <v>1674324.2</v>
      </c>
      <c r="F17" s="61">
        <f t="shared" si="1"/>
        <v>-58.763633227288061</v>
      </c>
      <c r="G17" s="160">
        <f>1945165.21</f>
        <v>1945165.21</v>
      </c>
      <c r="H17" s="63">
        <f t="shared" si="1"/>
        <v>16.176139005815003</v>
      </c>
      <c r="I17" s="163"/>
      <c r="J17" s="61">
        <f t="shared" si="1"/>
        <v>-100</v>
      </c>
      <c r="K17" s="165">
        <f t="shared" si="2"/>
        <v>0</v>
      </c>
      <c r="L17" s="66" t="e">
        <f t="shared" si="1"/>
        <v>#DIV/0!</v>
      </c>
      <c r="P17" s="156">
        <v>5000</v>
      </c>
      <c r="Q17" s="156">
        <v>7500</v>
      </c>
      <c r="R17" s="156">
        <v>7500</v>
      </c>
    </row>
    <row r="18" spans="1:18">
      <c r="A18" s="49" t="s">
        <v>22</v>
      </c>
      <c r="B18" s="71">
        <v>2946655.03</v>
      </c>
      <c r="C18" s="71">
        <v>3471813.37</v>
      </c>
      <c r="D18" s="72">
        <f t="shared" si="0"/>
        <v>17.822185992365736</v>
      </c>
      <c r="E18" s="27">
        <v>1037906.48</v>
      </c>
      <c r="F18" s="72">
        <f t="shared" si="1"/>
        <v>-70.104773229789146</v>
      </c>
      <c r="G18" s="161">
        <f>1306482.5</f>
        <v>1306482.5</v>
      </c>
      <c r="H18" s="73">
        <f t="shared" si="1"/>
        <v>25.876707119123104</v>
      </c>
      <c r="I18" s="164"/>
      <c r="J18" s="72">
        <f t="shared" si="1"/>
        <v>-100</v>
      </c>
      <c r="K18" s="167">
        <f t="shared" si="2"/>
        <v>0</v>
      </c>
      <c r="L18" s="74" t="e">
        <f t="shared" si="1"/>
        <v>#DIV/0!</v>
      </c>
      <c r="P18" s="156">
        <v>600000</v>
      </c>
      <c r="Q18" s="156">
        <v>380000</v>
      </c>
      <c r="R18" s="156">
        <v>380000</v>
      </c>
    </row>
    <row r="19" spans="1:18">
      <c r="P19" s="156">
        <v>200000</v>
      </c>
      <c r="Q19" s="156">
        <v>250000</v>
      </c>
      <c r="R19" s="156">
        <v>255000</v>
      </c>
    </row>
    <row r="20" spans="1:18">
      <c r="A20" s="44"/>
      <c r="B20" s="469" t="s">
        <v>57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P20" s="156">
        <v>0</v>
      </c>
      <c r="Q20" s="157">
        <v>2500</v>
      </c>
      <c r="R20" s="157">
        <v>4500</v>
      </c>
    </row>
    <row r="21" spans="1:18">
      <c r="A21" s="45" t="s">
        <v>4</v>
      </c>
      <c r="B21" s="46">
        <v>2018</v>
      </c>
      <c r="C21" s="47">
        <v>2019</v>
      </c>
      <c r="D21" s="48" t="s">
        <v>10</v>
      </c>
      <c r="E21" s="45">
        <v>2020</v>
      </c>
      <c r="F21" s="48" t="s">
        <v>10</v>
      </c>
      <c r="G21" s="45">
        <v>2021</v>
      </c>
      <c r="H21" s="48" t="s">
        <v>10</v>
      </c>
      <c r="I21" s="45">
        <v>2022</v>
      </c>
      <c r="J21" s="48" t="s">
        <v>10</v>
      </c>
      <c r="K21" s="45">
        <v>2023</v>
      </c>
      <c r="L21" s="47" t="s">
        <v>10</v>
      </c>
      <c r="P21" s="154">
        <f>SUM(P12:P20)</f>
        <v>1401063.5</v>
      </c>
      <c r="Q21" s="154">
        <f t="shared" ref="Q21:R21" si="3">SUM(Q12:Q20)</f>
        <v>1301266.69</v>
      </c>
      <c r="R21" s="154">
        <f t="shared" si="3"/>
        <v>1373251.57</v>
      </c>
    </row>
    <row r="22" spans="1:18">
      <c r="A22" s="49"/>
      <c r="B22" s="75" t="s">
        <v>43</v>
      </c>
      <c r="C22" s="51" t="s">
        <v>44</v>
      </c>
      <c r="D22" s="76" t="s">
        <v>45</v>
      </c>
      <c r="E22" s="50" t="s">
        <v>46</v>
      </c>
      <c r="F22" s="52" t="s">
        <v>47</v>
      </c>
      <c r="G22" s="50" t="s">
        <v>48</v>
      </c>
      <c r="H22" s="52" t="s">
        <v>49</v>
      </c>
      <c r="I22" s="77" t="s">
        <v>50</v>
      </c>
      <c r="J22" s="52" t="s">
        <v>51</v>
      </c>
      <c r="K22" s="77" t="s">
        <v>52</v>
      </c>
      <c r="L22" s="50" t="s">
        <v>53</v>
      </c>
    </row>
    <row r="23" spans="1:18">
      <c r="A23" s="44" t="s">
        <v>15</v>
      </c>
      <c r="B23" s="78">
        <f>B11*$B$34</f>
        <v>107601296.31365111</v>
      </c>
      <c r="C23" s="79">
        <f>C11*C34</f>
        <v>123932597.19819702</v>
      </c>
      <c r="D23" s="59">
        <f>((C23-B23)/B23)*100</f>
        <v>15.177606073574779</v>
      </c>
      <c r="E23" s="79">
        <f>E11*E34</f>
        <v>137989147.52005085</v>
      </c>
      <c r="F23" s="55">
        <f>((E23-C23)/C23)*100</f>
        <v>11.342092911499419</v>
      </c>
      <c r="G23" s="79">
        <f>G11/G34</f>
        <v>140272342.69879517</v>
      </c>
      <c r="H23" s="55">
        <f>((G23-E23)/E23)*100</f>
        <v>1.6546193811455723</v>
      </c>
      <c r="I23" s="79">
        <f>I11/I34</f>
        <v>157089294.25479156</v>
      </c>
      <c r="J23" s="55">
        <f>((I23-G23)/G23)*100</f>
        <v>11.988786408242422</v>
      </c>
      <c r="K23" s="80">
        <f>K11/K34</f>
        <v>157089294.25479156</v>
      </c>
      <c r="L23" s="55">
        <f>((K23-I23)/I23)*100</f>
        <v>0</v>
      </c>
    </row>
    <row r="24" spans="1:18">
      <c r="A24" s="41" t="s">
        <v>16</v>
      </c>
      <c r="B24" s="81">
        <f>B12*$B$34</f>
        <v>89271918.483550504</v>
      </c>
      <c r="C24" s="82">
        <f>C12*C34</f>
        <v>103069626.71695365</v>
      </c>
      <c r="D24" s="66">
        <f t="shared" ref="D24:D30" si="4">((C24-B24)/B24)*100</f>
        <v>15.455821346491563</v>
      </c>
      <c r="E24" s="82">
        <f>E12*E34</f>
        <v>120607522.93469425</v>
      </c>
      <c r="F24" s="61">
        <f t="shared" ref="F24:F30" si="5">((E24-C24)/C24)*100</f>
        <v>17.015581385486701</v>
      </c>
      <c r="G24" s="82">
        <f>G12/G34</f>
        <v>115468816.47228914</v>
      </c>
      <c r="H24" s="61">
        <f>((G24-E24)/E24)*100</f>
        <v>-4.2606848539519158</v>
      </c>
      <c r="I24" s="82">
        <f>I12/I34</f>
        <v>113390408.37363984</v>
      </c>
      <c r="J24" s="61">
        <f>((I24-G24)/G24)*100</f>
        <v>-1.7999735011989977</v>
      </c>
      <c r="K24" s="82">
        <f>K12/K34</f>
        <v>113390408.37363984</v>
      </c>
      <c r="L24" s="61">
        <f>((K24-I24)/I24)*100</f>
        <v>0</v>
      </c>
    </row>
    <row r="25" spans="1:18">
      <c r="A25" s="41" t="s">
        <v>54</v>
      </c>
      <c r="B25" s="81">
        <f t="shared" ref="B25:B30" si="6">B13*$B$34</f>
        <v>109138105.79701144</v>
      </c>
      <c r="C25" s="82">
        <f>C13*C34</f>
        <v>124061871.0544688</v>
      </c>
      <c r="D25" s="66">
        <f t="shared" si="4"/>
        <v>13.674202194066321</v>
      </c>
      <c r="E25" s="82">
        <f>E13*E34</f>
        <v>140199853.29317701</v>
      </c>
      <c r="F25" s="61">
        <f t="shared" si="5"/>
        <v>13.008011326560522</v>
      </c>
      <c r="G25" s="82">
        <f>G13/G34</f>
        <v>145436442.14939758</v>
      </c>
      <c r="H25" s="61">
        <f t="shared" ref="H25:H30" si="7">((G25-E25)/E25)*100</f>
        <v>3.7350886846294706</v>
      </c>
      <c r="I25" s="82">
        <f>I13/I34</f>
        <v>157089294.25479156</v>
      </c>
      <c r="J25" s="61">
        <f t="shared" ref="J25:J30" si="8">((I25-G25)/G25)*100</f>
        <v>8.0123330392143011</v>
      </c>
      <c r="K25" s="82">
        <f>K13/K34</f>
        <v>157089294.25479156</v>
      </c>
      <c r="L25" s="61">
        <f t="shared" ref="L25:L30" si="9">((K25-I25)/I25)*100</f>
        <v>0</v>
      </c>
    </row>
    <row r="26" spans="1:18">
      <c r="A26" s="41" t="s">
        <v>18</v>
      </c>
      <c r="B26" s="81">
        <f t="shared" si="6"/>
        <v>95102522.559391558</v>
      </c>
      <c r="C26" s="82">
        <f>C14*C34</f>
        <v>104854427.12615201</v>
      </c>
      <c r="D26" s="66">
        <f t="shared" si="4"/>
        <v>10.254096636259447</v>
      </c>
      <c r="E26" s="82">
        <f>E14*E34</f>
        <v>113706436.02950971</v>
      </c>
      <c r="F26" s="61">
        <f t="shared" si="5"/>
        <v>8.4421889909404655</v>
      </c>
      <c r="G26" s="82">
        <f>G14/G34</f>
        <v>113089606.11084335</v>
      </c>
      <c r="H26" s="61">
        <f t="shared" si="7"/>
        <v>-0.54247581773320175</v>
      </c>
      <c r="I26" s="82">
        <f>I14/I34</f>
        <v>121491621.48254032</v>
      </c>
      <c r="J26" s="61">
        <f t="shared" si="8"/>
        <v>7.4295204136283308</v>
      </c>
      <c r="K26" s="82">
        <f>K14/K34</f>
        <v>121491621.48254032</v>
      </c>
      <c r="L26" s="61">
        <f t="shared" si="9"/>
        <v>0</v>
      </c>
    </row>
    <row r="27" spans="1:18">
      <c r="A27" s="159" t="s">
        <v>55</v>
      </c>
      <c r="B27" s="81">
        <f>B15*$B$34</f>
        <v>-5830604.075841045</v>
      </c>
      <c r="C27" s="82">
        <f>C15*C34</f>
        <v>-1784800.4091983656</v>
      </c>
      <c r="D27" s="66">
        <f t="shared" si="4"/>
        <v>-69.389099551560378</v>
      </c>
      <c r="E27" s="82">
        <f>E15*E34</f>
        <v>6901086.905184539</v>
      </c>
      <c r="F27" s="61">
        <f t="shared" si="5"/>
        <v>-486.65874736571413</v>
      </c>
      <c r="G27" s="82">
        <f>G15/G34</f>
        <v>2379210.3614457971</v>
      </c>
      <c r="H27" s="61">
        <f t="shared" si="7"/>
        <v>-65.524121140129637</v>
      </c>
      <c r="I27" s="82">
        <f>I15/I34</f>
        <v>-8101213.1089004874</v>
      </c>
      <c r="J27" s="61">
        <f>((I27-G27)/G27)*100</f>
        <v>-440.50007683967669</v>
      </c>
      <c r="K27" s="82">
        <f>K15/K34</f>
        <v>-8101213.1089004865</v>
      </c>
      <c r="L27" s="61">
        <f t="shared" si="9"/>
        <v>-1.1496087833959961E-14</v>
      </c>
    </row>
    <row r="28" spans="1:18">
      <c r="A28" s="41" t="s">
        <v>20</v>
      </c>
      <c r="B28" s="81">
        <f>B16*$B$34</f>
        <v>1923973.8745054603</v>
      </c>
      <c r="C28" s="82">
        <f>C16*C34</f>
        <v>4036412.6816452765</v>
      </c>
      <c r="D28" s="66">
        <f t="shared" si="4"/>
        <v>109.79560768114895</v>
      </c>
      <c r="E28" s="82">
        <f>E16*E34</f>
        <v>4347841.0851177387</v>
      </c>
      <c r="F28" s="70">
        <f t="shared" si="5"/>
        <v>7.7154748048586876</v>
      </c>
      <c r="G28" s="82">
        <f>G16/G34</f>
        <v>8539037.8506024089</v>
      </c>
      <c r="H28" s="61">
        <f t="shared" si="7"/>
        <v>96.397193076599606</v>
      </c>
      <c r="I28" s="168">
        <f>I16/I34</f>
        <v>0</v>
      </c>
      <c r="J28" s="61">
        <f t="shared" si="8"/>
        <v>-100</v>
      </c>
      <c r="K28" s="168">
        <f>K16/K34</f>
        <v>0</v>
      </c>
      <c r="L28" s="61" t="e">
        <f t="shared" si="9"/>
        <v>#DIV/0!</v>
      </c>
    </row>
    <row r="29" spans="1:18">
      <c r="A29" s="41" t="s">
        <v>56</v>
      </c>
      <c r="B29" s="81">
        <f>B17*$B$34</f>
        <v>3693533.0170278405</v>
      </c>
      <c r="C29" s="82">
        <f>C17*C34</f>
        <v>4336540.3290158035</v>
      </c>
      <c r="D29" s="66">
        <f t="shared" si="4"/>
        <v>17.409004035528735</v>
      </c>
      <c r="E29" s="82">
        <f>E17*E34</f>
        <v>1865232.9312587848</v>
      </c>
      <c r="F29" s="61">
        <f t="shared" si="5"/>
        <v>-56.987995274055081</v>
      </c>
      <c r="G29" s="82">
        <f>G17/G34</f>
        <v>1874858.0337349395</v>
      </c>
      <c r="H29" s="61">
        <f t="shared" si="7"/>
        <v>0.51602683583647757</v>
      </c>
      <c r="I29" s="168">
        <f>I17/I34</f>
        <v>0</v>
      </c>
      <c r="J29" s="61">
        <f t="shared" si="8"/>
        <v>-100</v>
      </c>
      <c r="K29" s="168">
        <f>K17/K34</f>
        <v>0</v>
      </c>
      <c r="L29" s="61" t="e">
        <f t="shared" si="9"/>
        <v>#DIV/0!</v>
      </c>
    </row>
    <row r="30" spans="1:18">
      <c r="A30" s="49" t="s">
        <v>22</v>
      </c>
      <c r="B30" s="83">
        <f t="shared" si="6"/>
        <v>3033501.79369919</v>
      </c>
      <c r="C30" s="84">
        <f>C18*C34</f>
        <v>3708007.4689428904</v>
      </c>
      <c r="D30" s="74">
        <f t="shared" si="4"/>
        <v>22.235215968709795</v>
      </c>
      <c r="E30" s="84">
        <f>E18*E34</f>
        <v>1156249.9939156868</v>
      </c>
      <c r="F30" s="72">
        <f t="shared" si="5"/>
        <v>-68.817484765063853</v>
      </c>
      <c r="G30" s="84">
        <f>G18/G34</f>
        <v>1259260.2409638553</v>
      </c>
      <c r="H30" s="72">
        <f t="shared" si="7"/>
        <v>8.9089943861811509</v>
      </c>
      <c r="I30" s="169">
        <f>I18/I34</f>
        <v>0</v>
      </c>
      <c r="J30" s="72">
        <f t="shared" si="8"/>
        <v>-100</v>
      </c>
      <c r="K30" s="169">
        <f>K18/K34</f>
        <v>0</v>
      </c>
      <c r="L30" s="72" t="e">
        <f t="shared" si="9"/>
        <v>#DIV/0!</v>
      </c>
    </row>
    <row r="31" spans="1:18">
      <c r="A31" s="41" t="s">
        <v>58</v>
      </c>
    </row>
    <row r="32" spans="1:18" s="40" customFormat="1" ht="22.5">
      <c r="A32" s="85" t="s">
        <v>124</v>
      </c>
      <c r="B32" s="86">
        <v>2018</v>
      </c>
      <c r="C32" s="86">
        <v>2019</v>
      </c>
      <c r="D32" s="86"/>
      <c r="E32" s="86">
        <v>2020</v>
      </c>
      <c r="F32" s="87"/>
      <c r="G32" s="86">
        <v>2021</v>
      </c>
      <c r="H32" s="87"/>
      <c r="I32" s="86">
        <v>2022</v>
      </c>
      <c r="J32" s="86"/>
      <c r="K32" s="86">
        <v>2023</v>
      </c>
    </row>
    <row r="33" spans="1:11" s="42" customFormat="1" ht="8.25">
      <c r="A33" s="215" t="s">
        <v>59</v>
      </c>
      <c r="B33" s="216">
        <v>2.9472999999999999E-2</v>
      </c>
      <c r="C33" s="216">
        <v>3.7455000000000002E-2</v>
      </c>
      <c r="E33" s="216">
        <v>4.3060000000000001E-2</v>
      </c>
      <c r="G33" s="216">
        <v>3.7499999999999999E-2</v>
      </c>
      <c r="H33" s="216"/>
      <c r="I33" s="216">
        <f xml:space="preserve"> 3.25%</f>
        <v>3.2500000000000001E-2</v>
      </c>
      <c r="J33" s="216"/>
      <c r="K33" s="216">
        <f xml:space="preserve"> 3.25%</f>
        <v>3.2500000000000001E-2</v>
      </c>
    </row>
    <row r="34" spans="1:11" s="40" customFormat="1">
      <c r="A34" s="40" t="s">
        <v>60</v>
      </c>
      <c r="B34" s="158">
        <f>((1+B33))</f>
        <v>1.0294730000000001</v>
      </c>
      <c r="C34" s="158">
        <f>((1+C33)*(1+B33))</f>
        <v>1.0680319112150001</v>
      </c>
      <c r="E34" s="158">
        <f>((1+C33)*(1+B33)*(1+E33))</f>
        <v>1.114021365311918</v>
      </c>
      <c r="G34" s="158">
        <f>((1+G33))</f>
        <v>1.0375000000000001</v>
      </c>
      <c r="H34" s="158"/>
      <c r="I34" s="158">
        <f>((1+I33)*(1+G33))</f>
        <v>1.0712187500000001</v>
      </c>
      <c r="K34" s="158">
        <f>((1+I33)*(1+G33)*(1+K33))</f>
        <v>1.106033359375</v>
      </c>
    </row>
    <row r="35" spans="1:11">
      <c r="A35" s="18" t="s">
        <v>119</v>
      </c>
    </row>
    <row r="36" spans="1:11">
      <c r="A36" s="152" t="s">
        <v>304</v>
      </c>
    </row>
    <row r="37" spans="1:11">
      <c r="A37" s="214" t="s">
        <v>305</v>
      </c>
    </row>
    <row r="41" spans="1:11">
      <c r="A41" s="18" t="s">
        <v>25</v>
      </c>
      <c r="B41" s="18"/>
      <c r="C41" s="18"/>
      <c r="D41" s="18"/>
      <c r="E41" s="18"/>
      <c r="F41" s="18"/>
    </row>
    <row r="42" spans="1:11">
      <c r="A42" s="18" t="s">
        <v>24</v>
      </c>
      <c r="B42" s="18"/>
      <c r="C42" s="18"/>
      <c r="D42" s="18"/>
      <c r="E42" s="18"/>
      <c r="F42" s="18"/>
    </row>
    <row r="43" spans="1:11">
      <c r="A43" s="40"/>
    </row>
  </sheetData>
  <mergeCells count="8">
    <mergeCell ref="A2:L2"/>
    <mergeCell ref="B8:L8"/>
    <mergeCell ref="B20:L20"/>
    <mergeCell ref="A3:L3"/>
    <mergeCell ref="A4:L4"/>
    <mergeCell ref="A5:L5"/>
    <mergeCell ref="A6:L6"/>
    <mergeCell ref="A7:B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opLeftCell="A7" workbookViewId="0">
      <selection activeCell="A2" sqref="A2:H2"/>
    </sheetView>
  </sheetViews>
  <sheetFormatPr defaultRowHeight="11.25"/>
  <cols>
    <col min="1" max="1" width="16.7109375" style="152" customWidth="1"/>
    <col min="2" max="2" width="13.28515625" style="152" bestFit="1" customWidth="1"/>
    <col min="3" max="3" width="12.42578125" style="152" bestFit="1" customWidth="1"/>
    <col min="4" max="4" width="8.42578125" style="152" bestFit="1" customWidth="1"/>
    <col min="5" max="5" width="12.5703125" style="152" bestFit="1" customWidth="1"/>
    <col min="6" max="6" width="7.5703125" style="152" bestFit="1" customWidth="1"/>
    <col min="7" max="7" width="12.42578125" style="152" bestFit="1" customWidth="1"/>
    <col min="8" max="8" width="7.5703125" style="152" bestFit="1" customWidth="1"/>
    <col min="9" max="9" width="9.85546875" style="152" bestFit="1" customWidth="1"/>
    <col min="10" max="10" width="11.85546875" style="152" bestFit="1" customWidth="1"/>
    <col min="11" max="11" width="12.5703125" style="152" bestFit="1" customWidth="1"/>
    <col min="12" max="257" width="9.140625" style="152"/>
    <col min="258" max="258" width="18.5703125" style="152" customWidth="1"/>
    <col min="259" max="259" width="12.42578125" style="152" bestFit="1" customWidth="1"/>
    <col min="260" max="260" width="8.42578125" style="152" bestFit="1" customWidth="1"/>
    <col min="261" max="261" width="10.85546875" style="152" bestFit="1" customWidth="1"/>
    <col min="262" max="262" width="7.5703125" style="152" bestFit="1" customWidth="1"/>
    <col min="263" max="263" width="12.42578125" style="152" bestFit="1" customWidth="1"/>
    <col min="264" max="264" width="7" style="152" bestFit="1" customWidth="1"/>
    <col min="265" max="265" width="9.85546875" style="152" bestFit="1" customWidth="1"/>
    <col min="266" max="266" width="10.28515625" style="152" bestFit="1" customWidth="1"/>
    <col min="267" max="267" width="11.28515625" style="152" bestFit="1" customWidth="1"/>
    <col min="268" max="513" width="9.140625" style="152"/>
    <col min="514" max="514" width="18.5703125" style="152" customWidth="1"/>
    <col min="515" max="515" width="12.42578125" style="152" bestFit="1" customWidth="1"/>
    <col min="516" max="516" width="8.42578125" style="152" bestFit="1" customWidth="1"/>
    <col min="517" max="517" width="10.85546875" style="152" bestFit="1" customWidth="1"/>
    <col min="518" max="518" width="7.5703125" style="152" bestFit="1" customWidth="1"/>
    <col min="519" max="519" width="12.42578125" style="152" bestFit="1" customWidth="1"/>
    <col min="520" max="520" width="7" style="152" bestFit="1" customWidth="1"/>
    <col min="521" max="521" width="9.85546875" style="152" bestFit="1" customWidth="1"/>
    <col min="522" max="522" width="10.28515625" style="152" bestFit="1" customWidth="1"/>
    <col min="523" max="523" width="11.28515625" style="152" bestFit="1" customWidth="1"/>
    <col min="524" max="769" width="9.140625" style="152"/>
    <col min="770" max="770" width="18.5703125" style="152" customWidth="1"/>
    <col min="771" max="771" width="12.42578125" style="152" bestFit="1" customWidth="1"/>
    <col min="772" max="772" width="8.42578125" style="152" bestFit="1" customWidth="1"/>
    <col min="773" max="773" width="10.85546875" style="152" bestFit="1" customWidth="1"/>
    <col min="774" max="774" width="7.5703125" style="152" bestFit="1" customWidth="1"/>
    <col min="775" max="775" width="12.42578125" style="152" bestFit="1" customWidth="1"/>
    <col min="776" max="776" width="7" style="152" bestFit="1" customWidth="1"/>
    <col min="777" max="777" width="9.85546875" style="152" bestFit="1" customWidth="1"/>
    <col min="778" max="778" width="10.28515625" style="152" bestFit="1" customWidth="1"/>
    <col min="779" max="779" width="11.28515625" style="152" bestFit="1" customWidth="1"/>
    <col min="780" max="1025" width="9.140625" style="152"/>
    <col min="1026" max="1026" width="18.5703125" style="152" customWidth="1"/>
    <col min="1027" max="1027" width="12.42578125" style="152" bestFit="1" customWidth="1"/>
    <col min="1028" max="1028" width="8.42578125" style="152" bestFit="1" customWidth="1"/>
    <col min="1029" max="1029" width="10.85546875" style="152" bestFit="1" customWidth="1"/>
    <col min="1030" max="1030" width="7.5703125" style="152" bestFit="1" customWidth="1"/>
    <col min="1031" max="1031" width="12.42578125" style="152" bestFit="1" customWidth="1"/>
    <col min="1032" max="1032" width="7" style="152" bestFit="1" customWidth="1"/>
    <col min="1033" max="1033" width="9.85546875" style="152" bestFit="1" customWidth="1"/>
    <col min="1034" max="1034" width="10.28515625" style="152" bestFit="1" customWidth="1"/>
    <col min="1035" max="1035" width="11.28515625" style="152" bestFit="1" customWidth="1"/>
    <col min="1036" max="1281" width="9.140625" style="152"/>
    <col min="1282" max="1282" width="18.5703125" style="152" customWidth="1"/>
    <col min="1283" max="1283" width="12.42578125" style="152" bestFit="1" customWidth="1"/>
    <col min="1284" max="1284" width="8.42578125" style="152" bestFit="1" customWidth="1"/>
    <col min="1285" max="1285" width="10.85546875" style="152" bestFit="1" customWidth="1"/>
    <col min="1286" max="1286" width="7.5703125" style="152" bestFit="1" customWidth="1"/>
    <col min="1287" max="1287" width="12.42578125" style="152" bestFit="1" customWidth="1"/>
    <col min="1288" max="1288" width="7" style="152" bestFit="1" customWidth="1"/>
    <col min="1289" max="1289" width="9.85546875" style="152" bestFit="1" customWidth="1"/>
    <col min="1290" max="1290" width="10.28515625" style="152" bestFit="1" customWidth="1"/>
    <col min="1291" max="1291" width="11.28515625" style="152" bestFit="1" customWidth="1"/>
    <col min="1292" max="1537" width="9.140625" style="152"/>
    <col min="1538" max="1538" width="18.5703125" style="152" customWidth="1"/>
    <col min="1539" max="1539" width="12.42578125" style="152" bestFit="1" customWidth="1"/>
    <col min="1540" max="1540" width="8.42578125" style="152" bestFit="1" customWidth="1"/>
    <col min="1541" max="1541" width="10.85546875" style="152" bestFit="1" customWidth="1"/>
    <col min="1542" max="1542" width="7.5703125" style="152" bestFit="1" customWidth="1"/>
    <col min="1543" max="1543" width="12.42578125" style="152" bestFit="1" customWidth="1"/>
    <col min="1544" max="1544" width="7" style="152" bestFit="1" customWidth="1"/>
    <col min="1545" max="1545" width="9.85546875" style="152" bestFit="1" customWidth="1"/>
    <col min="1546" max="1546" width="10.28515625" style="152" bestFit="1" customWidth="1"/>
    <col min="1547" max="1547" width="11.28515625" style="152" bestFit="1" customWidth="1"/>
    <col min="1548" max="1793" width="9.140625" style="152"/>
    <col min="1794" max="1794" width="18.5703125" style="152" customWidth="1"/>
    <col min="1795" max="1795" width="12.42578125" style="152" bestFit="1" customWidth="1"/>
    <col min="1796" max="1796" width="8.42578125" style="152" bestFit="1" customWidth="1"/>
    <col min="1797" max="1797" width="10.85546875" style="152" bestFit="1" customWidth="1"/>
    <col min="1798" max="1798" width="7.5703125" style="152" bestFit="1" customWidth="1"/>
    <col min="1799" max="1799" width="12.42578125" style="152" bestFit="1" customWidth="1"/>
    <col min="1800" max="1800" width="7" style="152" bestFit="1" customWidth="1"/>
    <col min="1801" max="1801" width="9.85546875" style="152" bestFit="1" customWidth="1"/>
    <col min="1802" max="1802" width="10.28515625" style="152" bestFit="1" customWidth="1"/>
    <col min="1803" max="1803" width="11.28515625" style="152" bestFit="1" customWidth="1"/>
    <col min="1804" max="2049" width="9.140625" style="152"/>
    <col min="2050" max="2050" width="18.5703125" style="152" customWidth="1"/>
    <col min="2051" max="2051" width="12.42578125" style="152" bestFit="1" customWidth="1"/>
    <col min="2052" max="2052" width="8.42578125" style="152" bestFit="1" customWidth="1"/>
    <col min="2053" max="2053" width="10.85546875" style="152" bestFit="1" customWidth="1"/>
    <col min="2054" max="2054" width="7.5703125" style="152" bestFit="1" customWidth="1"/>
    <col min="2055" max="2055" width="12.42578125" style="152" bestFit="1" customWidth="1"/>
    <col min="2056" max="2056" width="7" style="152" bestFit="1" customWidth="1"/>
    <col min="2057" max="2057" width="9.85546875" style="152" bestFit="1" customWidth="1"/>
    <col min="2058" max="2058" width="10.28515625" style="152" bestFit="1" customWidth="1"/>
    <col min="2059" max="2059" width="11.28515625" style="152" bestFit="1" customWidth="1"/>
    <col min="2060" max="2305" width="9.140625" style="152"/>
    <col min="2306" max="2306" width="18.5703125" style="152" customWidth="1"/>
    <col min="2307" max="2307" width="12.42578125" style="152" bestFit="1" customWidth="1"/>
    <col min="2308" max="2308" width="8.42578125" style="152" bestFit="1" customWidth="1"/>
    <col min="2309" max="2309" width="10.85546875" style="152" bestFit="1" customWidth="1"/>
    <col min="2310" max="2310" width="7.5703125" style="152" bestFit="1" customWidth="1"/>
    <col min="2311" max="2311" width="12.42578125" style="152" bestFit="1" customWidth="1"/>
    <col min="2312" max="2312" width="7" style="152" bestFit="1" customWidth="1"/>
    <col min="2313" max="2313" width="9.85546875" style="152" bestFit="1" customWidth="1"/>
    <col min="2314" max="2314" width="10.28515625" style="152" bestFit="1" customWidth="1"/>
    <col min="2315" max="2315" width="11.28515625" style="152" bestFit="1" customWidth="1"/>
    <col min="2316" max="2561" width="9.140625" style="152"/>
    <col min="2562" max="2562" width="18.5703125" style="152" customWidth="1"/>
    <col min="2563" max="2563" width="12.42578125" style="152" bestFit="1" customWidth="1"/>
    <col min="2564" max="2564" width="8.42578125" style="152" bestFit="1" customWidth="1"/>
    <col min="2565" max="2565" width="10.85546875" style="152" bestFit="1" customWidth="1"/>
    <col min="2566" max="2566" width="7.5703125" style="152" bestFit="1" customWidth="1"/>
    <col min="2567" max="2567" width="12.42578125" style="152" bestFit="1" customWidth="1"/>
    <col min="2568" max="2568" width="7" style="152" bestFit="1" customWidth="1"/>
    <col min="2569" max="2569" width="9.85546875" style="152" bestFit="1" customWidth="1"/>
    <col min="2570" max="2570" width="10.28515625" style="152" bestFit="1" customWidth="1"/>
    <col min="2571" max="2571" width="11.28515625" style="152" bestFit="1" customWidth="1"/>
    <col min="2572" max="2817" width="9.140625" style="152"/>
    <col min="2818" max="2818" width="18.5703125" style="152" customWidth="1"/>
    <col min="2819" max="2819" width="12.42578125" style="152" bestFit="1" customWidth="1"/>
    <col min="2820" max="2820" width="8.42578125" style="152" bestFit="1" customWidth="1"/>
    <col min="2821" max="2821" width="10.85546875" style="152" bestFit="1" customWidth="1"/>
    <col min="2822" max="2822" width="7.5703125" style="152" bestFit="1" customWidth="1"/>
    <col min="2823" max="2823" width="12.42578125" style="152" bestFit="1" customWidth="1"/>
    <col min="2824" max="2824" width="7" style="152" bestFit="1" customWidth="1"/>
    <col min="2825" max="2825" width="9.85546875" style="152" bestFit="1" customWidth="1"/>
    <col min="2826" max="2826" width="10.28515625" style="152" bestFit="1" customWidth="1"/>
    <col min="2827" max="2827" width="11.28515625" style="152" bestFit="1" customWidth="1"/>
    <col min="2828" max="3073" width="9.140625" style="152"/>
    <col min="3074" max="3074" width="18.5703125" style="152" customWidth="1"/>
    <col min="3075" max="3075" width="12.42578125" style="152" bestFit="1" customWidth="1"/>
    <col min="3076" max="3076" width="8.42578125" style="152" bestFit="1" customWidth="1"/>
    <col min="3077" max="3077" width="10.85546875" style="152" bestFit="1" customWidth="1"/>
    <col min="3078" max="3078" width="7.5703125" style="152" bestFit="1" customWidth="1"/>
    <col min="3079" max="3079" width="12.42578125" style="152" bestFit="1" customWidth="1"/>
    <col min="3080" max="3080" width="7" style="152" bestFit="1" customWidth="1"/>
    <col min="3081" max="3081" width="9.85546875" style="152" bestFit="1" customWidth="1"/>
    <col min="3082" max="3082" width="10.28515625" style="152" bestFit="1" customWidth="1"/>
    <col min="3083" max="3083" width="11.28515625" style="152" bestFit="1" customWidth="1"/>
    <col min="3084" max="3329" width="9.140625" style="152"/>
    <col min="3330" max="3330" width="18.5703125" style="152" customWidth="1"/>
    <col min="3331" max="3331" width="12.42578125" style="152" bestFit="1" customWidth="1"/>
    <col min="3332" max="3332" width="8.42578125" style="152" bestFit="1" customWidth="1"/>
    <col min="3333" max="3333" width="10.85546875" style="152" bestFit="1" customWidth="1"/>
    <col min="3334" max="3334" width="7.5703125" style="152" bestFit="1" customWidth="1"/>
    <col min="3335" max="3335" width="12.42578125" style="152" bestFit="1" customWidth="1"/>
    <col min="3336" max="3336" width="7" style="152" bestFit="1" customWidth="1"/>
    <col min="3337" max="3337" width="9.85546875" style="152" bestFit="1" customWidth="1"/>
    <col min="3338" max="3338" width="10.28515625" style="152" bestFit="1" customWidth="1"/>
    <col min="3339" max="3339" width="11.28515625" style="152" bestFit="1" customWidth="1"/>
    <col min="3340" max="3585" width="9.140625" style="152"/>
    <col min="3586" max="3586" width="18.5703125" style="152" customWidth="1"/>
    <col min="3587" max="3587" width="12.42578125" style="152" bestFit="1" customWidth="1"/>
    <col min="3588" max="3588" width="8.42578125" style="152" bestFit="1" customWidth="1"/>
    <col min="3589" max="3589" width="10.85546875" style="152" bestFit="1" customWidth="1"/>
    <col min="3590" max="3590" width="7.5703125" style="152" bestFit="1" customWidth="1"/>
    <col min="3591" max="3591" width="12.42578125" style="152" bestFit="1" customWidth="1"/>
    <col min="3592" max="3592" width="7" style="152" bestFit="1" customWidth="1"/>
    <col min="3593" max="3593" width="9.85546875" style="152" bestFit="1" customWidth="1"/>
    <col min="3594" max="3594" width="10.28515625" style="152" bestFit="1" customWidth="1"/>
    <col min="3595" max="3595" width="11.28515625" style="152" bestFit="1" customWidth="1"/>
    <col min="3596" max="3841" width="9.140625" style="152"/>
    <col min="3842" max="3842" width="18.5703125" style="152" customWidth="1"/>
    <col min="3843" max="3843" width="12.42578125" style="152" bestFit="1" customWidth="1"/>
    <col min="3844" max="3844" width="8.42578125" style="152" bestFit="1" customWidth="1"/>
    <col min="3845" max="3845" width="10.85546875" style="152" bestFit="1" customWidth="1"/>
    <col min="3846" max="3846" width="7.5703125" style="152" bestFit="1" customWidth="1"/>
    <col min="3847" max="3847" width="12.42578125" style="152" bestFit="1" customWidth="1"/>
    <col min="3848" max="3848" width="7" style="152" bestFit="1" customWidth="1"/>
    <col min="3849" max="3849" width="9.85546875" style="152" bestFit="1" customWidth="1"/>
    <col min="3850" max="3850" width="10.28515625" style="152" bestFit="1" customWidth="1"/>
    <col min="3851" max="3851" width="11.28515625" style="152" bestFit="1" customWidth="1"/>
    <col min="3852" max="4097" width="9.140625" style="152"/>
    <col min="4098" max="4098" width="18.5703125" style="152" customWidth="1"/>
    <col min="4099" max="4099" width="12.42578125" style="152" bestFit="1" customWidth="1"/>
    <col min="4100" max="4100" width="8.42578125" style="152" bestFit="1" customWidth="1"/>
    <col min="4101" max="4101" width="10.85546875" style="152" bestFit="1" customWidth="1"/>
    <col min="4102" max="4102" width="7.5703125" style="152" bestFit="1" customWidth="1"/>
    <col min="4103" max="4103" width="12.42578125" style="152" bestFit="1" customWidth="1"/>
    <col min="4104" max="4104" width="7" style="152" bestFit="1" customWidth="1"/>
    <col min="4105" max="4105" width="9.85546875" style="152" bestFit="1" customWidth="1"/>
    <col min="4106" max="4106" width="10.28515625" style="152" bestFit="1" customWidth="1"/>
    <col min="4107" max="4107" width="11.28515625" style="152" bestFit="1" customWidth="1"/>
    <col min="4108" max="4353" width="9.140625" style="152"/>
    <col min="4354" max="4354" width="18.5703125" style="152" customWidth="1"/>
    <col min="4355" max="4355" width="12.42578125" style="152" bestFit="1" customWidth="1"/>
    <col min="4356" max="4356" width="8.42578125" style="152" bestFit="1" customWidth="1"/>
    <col min="4357" max="4357" width="10.85546875" style="152" bestFit="1" customWidth="1"/>
    <col min="4358" max="4358" width="7.5703125" style="152" bestFit="1" customWidth="1"/>
    <col min="4359" max="4359" width="12.42578125" style="152" bestFit="1" customWidth="1"/>
    <col min="4360" max="4360" width="7" style="152" bestFit="1" customWidth="1"/>
    <col min="4361" max="4361" width="9.85546875" style="152" bestFit="1" customWidth="1"/>
    <col min="4362" max="4362" width="10.28515625" style="152" bestFit="1" customWidth="1"/>
    <col min="4363" max="4363" width="11.28515625" style="152" bestFit="1" customWidth="1"/>
    <col min="4364" max="4609" width="9.140625" style="152"/>
    <col min="4610" max="4610" width="18.5703125" style="152" customWidth="1"/>
    <col min="4611" max="4611" width="12.42578125" style="152" bestFit="1" customWidth="1"/>
    <col min="4612" max="4612" width="8.42578125" style="152" bestFit="1" customWidth="1"/>
    <col min="4613" max="4613" width="10.85546875" style="152" bestFit="1" customWidth="1"/>
    <col min="4614" max="4614" width="7.5703125" style="152" bestFit="1" customWidth="1"/>
    <col min="4615" max="4615" width="12.42578125" style="152" bestFit="1" customWidth="1"/>
    <col min="4616" max="4616" width="7" style="152" bestFit="1" customWidth="1"/>
    <col min="4617" max="4617" width="9.85546875" style="152" bestFit="1" customWidth="1"/>
    <col min="4618" max="4618" width="10.28515625" style="152" bestFit="1" customWidth="1"/>
    <col min="4619" max="4619" width="11.28515625" style="152" bestFit="1" customWidth="1"/>
    <col min="4620" max="4865" width="9.140625" style="152"/>
    <col min="4866" max="4866" width="18.5703125" style="152" customWidth="1"/>
    <col min="4867" max="4867" width="12.42578125" style="152" bestFit="1" customWidth="1"/>
    <col min="4868" max="4868" width="8.42578125" style="152" bestFit="1" customWidth="1"/>
    <col min="4869" max="4869" width="10.85546875" style="152" bestFit="1" customWidth="1"/>
    <col min="4870" max="4870" width="7.5703125" style="152" bestFit="1" customWidth="1"/>
    <col min="4871" max="4871" width="12.42578125" style="152" bestFit="1" customWidth="1"/>
    <col min="4872" max="4872" width="7" style="152" bestFit="1" customWidth="1"/>
    <col min="4873" max="4873" width="9.85546875" style="152" bestFit="1" customWidth="1"/>
    <col min="4874" max="4874" width="10.28515625" style="152" bestFit="1" customWidth="1"/>
    <col min="4875" max="4875" width="11.28515625" style="152" bestFit="1" customWidth="1"/>
    <col min="4876" max="5121" width="9.140625" style="152"/>
    <col min="5122" max="5122" width="18.5703125" style="152" customWidth="1"/>
    <col min="5123" max="5123" width="12.42578125" style="152" bestFit="1" customWidth="1"/>
    <col min="5124" max="5124" width="8.42578125" style="152" bestFit="1" customWidth="1"/>
    <col min="5125" max="5125" width="10.85546875" style="152" bestFit="1" customWidth="1"/>
    <col min="5126" max="5126" width="7.5703125" style="152" bestFit="1" customWidth="1"/>
    <col min="5127" max="5127" width="12.42578125" style="152" bestFit="1" customWidth="1"/>
    <col min="5128" max="5128" width="7" style="152" bestFit="1" customWidth="1"/>
    <col min="5129" max="5129" width="9.85546875" style="152" bestFit="1" customWidth="1"/>
    <col min="5130" max="5130" width="10.28515625" style="152" bestFit="1" customWidth="1"/>
    <col min="5131" max="5131" width="11.28515625" style="152" bestFit="1" customWidth="1"/>
    <col min="5132" max="5377" width="9.140625" style="152"/>
    <col min="5378" max="5378" width="18.5703125" style="152" customWidth="1"/>
    <col min="5379" max="5379" width="12.42578125" style="152" bestFit="1" customWidth="1"/>
    <col min="5380" max="5380" width="8.42578125" style="152" bestFit="1" customWidth="1"/>
    <col min="5381" max="5381" width="10.85546875" style="152" bestFit="1" customWidth="1"/>
    <col min="5382" max="5382" width="7.5703125" style="152" bestFit="1" customWidth="1"/>
    <col min="5383" max="5383" width="12.42578125" style="152" bestFit="1" customWidth="1"/>
    <col min="5384" max="5384" width="7" style="152" bestFit="1" customWidth="1"/>
    <col min="5385" max="5385" width="9.85546875" style="152" bestFit="1" customWidth="1"/>
    <col min="5386" max="5386" width="10.28515625" style="152" bestFit="1" customWidth="1"/>
    <col min="5387" max="5387" width="11.28515625" style="152" bestFit="1" customWidth="1"/>
    <col min="5388" max="5633" width="9.140625" style="152"/>
    <col min="5634" max="5634" width="18.5703125" style="152" customWidth="1"/>
    <col min="5635" max="5635" width="12.42578125" style="152" bestFit="1" customWidth="1"/>
    <col min="5636" max="5636" width="8.42578125" style="152" bestFit="1" customWidth="1"/>
    <col min="5637" max="5637" width="10.85546875" style="152" bestFit="1" customWidth="1"/>
    <col min="5638" max="5638" width="7.5703125" style="152" bestFit="1" customWidth="1"/>
    <col min="5639" max="5639" width="12.42578125" style="152" bestFit="1" customWidth="1"/>
    <col min="5640" max="5640" width="7" style="152" bestFit="1" customWidth="1"/>
    <col min="5641" max="5641" width="9.85546875" style="152" bestFit="1" customWidth="1"/>
    <col min="5642" max="5642" width="10.28515625" style="152" bestFit="1" customWidth="1"/>
    <col min="5643" max="5643" width="11.28515625" style="152" bestFit="1" customWidth="1"/>
    <col min="5644" max="5889" width="9.140625" style="152"/>
    <col min="5890" max="5890" width="18.5703125" style="152" customWidth="1"/>
    <col min="5891" max="5891" width="12.42578125" style="152" bestFit="1" customWidth="1"/>
    <col min="5892" max="5892" width="8.42578125" style="152" bestFit="1" customWidth="1"/>
    <col min="5893" max="5893" width="10.85546875" style="152" bestFit="1" customWidth="1"/>
    <col min="5894" max="5894" width="7.5703125" style="152" bestFit="1" customWidth="1"/>
    <col min="5895" max="5895" width="12.42578125" style="152" bestFit="1" customWidth="1"/>
    <col min="5896" max="5896" width="7" style="152" bestFit="1" customWidth="1"/>
    <col min="5897" max="5897" width="9.85546875" style="152" bestFit="1" customWidth="1"/>
    <col min="5898" max="5898" width="10.28515625" style="152" bestFit="1" customWidth="1"/>
    <col min="5899" max="5899" width="11.28515625" style="152" bestFit="1" customWidth="1"/>
    <col min="5900" max="6145" width="9.140625" style="152"/>
    <col min="6146" max="6146" width="18.5703125" style="152" customWidth="1"/>
    <col min="6147" max="6147" width="12.42578125" style="152" bestFit="1" customWidth="1"/>
    <col min="6148" max="6148" width="8.42578125" style="152" bestFit="1" customWidth="1"/>
    <col min="6149" max="6149" width="10.85546875" style="152" bestFit="1" customWidth="1"/>
    <col min="6150" max="6150" width="7.5703125" style="152" bestFit="1" customWidth="1"/>
    <col min="6151" max="6151" width="12.42578125" style="152" bestFit="1" customWidth="1"/>
    <col min="6152" max="6152" width="7" style="152" bestFit="1" customWidth="1"/>
    <col min="6153" max="6153" width="9.85546875" style="152" bestFit="1" customWidth="1"/>
    <col min="6154" max="6154" width="10.28515625" style="152" bestFit="1" customWidth="1"/>
    <col min="6155" max="6155" width="11.28515625" style="152" bestFit="1" customWidth="1"/>
    <col min="6156" max="6401" width="9.140625" style="152"/>
    <col min="6402" max="6402" width="18.5703125" style="152" customWidth="1"/>
    <col min="6403" max="6403" width="12.42578125" style="152" bestFit="1" customWidth="1"/>
    <col min="6404" max="6404" width="8.42578125" style="152" bestFit="1" customWidth="1"/>
    <col min="6405" max="6405" width="10.85546875" style="152" bestFit="1" customWidth="1"/>
    <col min="6406" max="6406" width="7.5703125" style="152" bestFit="1" customWidth="1"/>
    <col min="6407" max="6407" width="12.42578125" style="152" bestFit="1" customWidth="1"/>
    <col min="6408" max="6408" width="7" style="152" bestFit="1" customWidth="1"/>
    <col min="6409" max="6409" width="9.85546875" style="152" bestFit="1" customWidth="1"/>
    <col min="6410" max="6410" width="10.28515625" style="152" bestFit="1" customWidth="1"/>
    <col min="6411" max="6411" width="11.28515625" style="152" bestFit="1" customWidth="1"/>
    <col min="6412" max="6657" width="9.140625" style="152"/>
    <col min="6658" max="6658" width="18.5703125" style="152" customWidth="1"/>
    <col min="6659" max="6659" width="12.42578125" style="152" bestFit="1" customWidth="1"/>
    <col min="6660" max="6660" width="8.42578125" style="152" bestFit="1" customWidth="1"/>
    <col min="6661" max="6661" width="10.85546875" style="152" bestFit="1" customWidth="1"/>
    <col min="6662" max="6662" width="7.5703125" style="152" bestFit="1" customWidth="1"/>
    <col min="6663" max="6663" width="12.42578125" style="152" bestFit="1" customWidth="1"/>
    <col min="6664" max="6664" width="7" style="152" bestFit="1" customWidth="1"/>
    <col min="6665" max="6665" width="9.85546875" style="152" bestFit="1" customWidth="1"/>
    <col min="6666" max="6666" width="10.28515625" style="152" bestFit="1" customWidth="1"/>
    <col min="6667" max="6667" width="11.28515625" style="152" bestFit="1" customWidth="1"/>
    <col min="6668" max="6913" width="9.140625" style="152"/>
    <col min="6914" max="6914" width="18.5703125" style="152" customWidth="1"/>
    <col min="6915" max="6915" width="12.42578125" style="152" bestFit="1" customWidth="1"/>
    <col min="6916" max="6916" width="8.42578125" style="152" bestFit="1" customWidth="1"/>
    <col min="6917" max="6917" width="10.85546875" style="152" bestFit="1" customWidth="1"/>
    <col min="6918" max="6918" width="7.5703125" style="152" bestFit="1" customWidth="1"/>
    <col min="6919" max="6919" width="12.42578125" style="152" bestFit="1" customWidth="1"/>
    <col min="6920" max="6920" width="7" style="152" bestFit="1" customWidth="1"/>
    <col min="6921" max="6921" width="9.85546875" style="152" bestFit="1" customWidth="1"/>
    <col min="6922" max="6922" width="10.28515625" style="152" bestFit="1" customWidth="1"/>
    <col min="6923" max="6923" width="11.28515625" style="152" bestFit="1" customWidth="1"/>
    <col min="6924" max="7169" width="9.140625" style="152"/>
    <col min="7170" max="7170" width="18.5703125" style="152" customWidth="1"/>
    <col min="7171" max="7171" width="12.42578125" style="152" bestFit="1" customWidth="1"/>
    <col min="7172" max="7172" width="8.42578125" style="152" bestFit="1" customWidth="1"/>
    <col min="7173" max="7173" width="10.85546875" style="152" bestFit="1" customWidth="1"/>
    <col min="7174" max="7174" width="7.5703125" style="152" bestFit="1" customWidth="1"/>
    <col min="7175" max="7175" width="12.42578125" style="152" bestFit="1" customWidth="1"/>
    <col min="7176" max="7176" width="7" style="152" bestFit="1" customWidth="1"/>
    <col min="7177" max="7177" width="9.85546875" style="152" bestFit="1" customWidth="1"/>
    <col min="7178" max="7178" width="10.28515625" style="152" bestFit="1" customWidth="1"/>
    <col min="7179" max="7179" width="11.28515625" style="152" bestFit="1" customWidth="1"/>
    <col min="7180" max="7425" width="9.140625" style="152"/>
    <col min="7426" max="7426" width="18.5703125" style="152" customWidth="1"/>
    <col min="7427" max="7427" width="12.42578125" style="152" bestFit="1" customWidth="1"/>
    <col min="7428" max="7428" width="8.42578125" style="152" bestFit="1" customWidth="1"/>
    <col min="7429" max="7429" width="10.85546875" style="152" bestFit="1" customWidth="1"/>
    <col min="7430" max="7430" width="7.5703125" style="152" bestFit="1" customWidth="1"/>
    <col min="7431" max="7431" width="12.42578125" style="152" bestFit="1" customWidth="1"/>
    <col min="7432" max="7432" width="7" style="152" bestFit="1" customWidth="1"/>
    <col min="7433" max="7433" width="9.85546875" style="152" bestFit="1" customWidth="1"/>
    <col min="7434" max="7434" width="10.28515625" style="152" bestFit="1" customWidth="1"/>
    <col min="7435" max="7435" width="11.28515625" style="152" bestFit="1" customWidth="1"/>
    <col min="7436" max="7681" width="9.140625" style="152"/>
    <col min="7682" max="7682" width="18.5703125" style="152" customWidth="1"/>
    <col min="7683" max="7683" width="12.42578125" style="152" bestFit="1" customWidth="1"/>
    <col min="7684" max="7684" width="8.42578125" style="152" bestFit="1" customWidth="1"/>
    <col min="7685" max="7685" width="10.85546875" style="152" bestFit="1" customWidth="1"/>
    <col min="7686" max="7686" width="7.5703125" style="152" bestFit="1" customWidth="1"/>
    <col min="7687" max="7687" width="12.42578125" style="152" bestFit="1" customWidth="1"/>
    <col min="7688" max="7688" width="7" style="152" bestFit="1" customWidth="1"/>
    <col min="7689" max="7689" width="9.85546875" style="152" bestFit="1" customWidth="1"/>
    <col min="7690" max="7690" width="10.28515625" style="152" bestFit="1" customWidth="1"/>
    <col min="7691" max="7691" width="11.28515625" style="152" bestFit="1" customWidth="1"/>
    <col min="7692" max="7937" width="9.140625" style="152"/>
    <col min="7938" max="7938" width="18.5703125" style="152" customWidth="1"/>
    <col min="7939" max="7939" width="12.42578125" style="152" bestFit="1" customWidth="1"/>
    <col min="7940" max="7940" width="8.42578125" style="152" bestFit="1" customWidth="1"/>
    <col min="7941" max="7941" width="10.85546875" style="152" bestFit="1" customWidth="1"/>
    <col min="7942" max="7942" width="7.5703125" style="152" bestFit="1" customWidth="1"/>
    <col min="7943" max="7943" width="12.42578125" style="152" bestFit="1" customWidth="1"/>
    <col min="7944" max="7944" width="7" style="152" bestFit="1" customWidth="1"/>
    <col min="7945" max="7945" width="9.85546875" style="152" bestFit="1" customWidth="1"/>
    <col min="7946" max="7946" width="10.28515625" style="152" bestFit="1" customWidth="1"/>
    <col min="7947" max="7947" width="11.28515625" style="152" bestFit="1" customWidth="1"/>
    <col min="7948" max="8193" width="9.140625" style="152"/>
    <col min="8194" max="8194" width="18.5703125" style="152" customWidth="1"/>
    <col min="8195" max="8195" width="12.42578125" style="152" bestFit="1" customWidth="1"/>
    <col min="8196" max="8196" width="8.42578125" style="152" bestFit="1" customWidth="1"/>
    <col min="8197" max="8197" width="10.85546875" style="152" bestFit="1" customWidth="1"/>
    <col min="8198" max="8198" width="7.5703125" style="152" bestFit="1" customWidth="1"/>
    <col min="8199" max="8199" width="12.42578125" style="152" bestFit="1" customWidth="1"/>
    <col min="8200" max="8200" width="7" style="152" bestFit="1" customWidth="1"/>
    <col min="8201" max="8201" width="9.85546875" style="152" bestFit="1" customWidth="1"/>
    <col min="8202" max="8202" width="10.28515625" style="152" bestFit="1" customWidth="1"/>
    <col min="8203" max="8203" width="11.28515625" style="152" bestFit="1" customWidth="1"/>
    <col min="8204" max="8449" width="9.140625" style="152"/>
    <col min="8450" max="8450" width="18.5703125" style="152" customWidth="1"/>
    <col min="8451" max="8451" width="12.42578125" style="152" bestFit="1" customWidth="1"/>
    <col min="8452" max="8452" width="8.42578125" style="152" bestFit="1" customWidth="1"/>
    <col min="8453" max="8453" width="10.85546875" style="152" bestFit="1" customWidth="1"/>
    <col min="8454" max="8454" width="7.5703125" style="152" bestFit="1" customWidth="1"/>
    <col min="8455" max="8455" width="12.42578125" style="152" bestFit="1" customWidth="1"/>
    <col min="8456" max="8456" width="7" style="152" bestFit="1" customWidth="1"/>
    <col min="8457" max="8457" width="9.85546875" style="152" bestFit="1" customWidth="1"/>
    <col min="8458" max="8458" width="10.28515625" style="152" bestFit="1" customWidth="1"/>
    <col min="8459" max="8459" width="11.28515625" style="152" bestFit="1" customWidth="1"/>
    <col min="8460" max="8705" width="9.140625" style="152"/>
    <col min="8706" max="8706" width="18.5703125" style="152" customWidth="1"/>
    <col min="8707" max="8707" width="12.42578125" style="152" bestFit="1" customWidth="1"/>
    <col min="8708" max="8708" width="8.42578125" style="152" bestFit="1" customWidth="1"/>
    <col min="8709" max="8709" width="10.85546875" style="152" bestFit="1" customWidth="1"/>
    <col min="8710" max="8710" width="7.5703125" style="152" bestFit="1" customWidth="1"/>
    <col min="8711" max="8711" width="12.42578125" style="152" bestFit="1" customWidth="1"/>
    <col min="8712" max="8712" width="7" style="152" bestFit="1" customWidth="1"/>
    <col min="8713" max="8713" width="9.85546875" style="152" bestFit="1" customWidth="1"/>
    <col min="8714" max="8714" width="10.28515625" style="152" bestFit="1" customWidth="1"/>
    <col min="8715" max="8715" width="11.28515625" style="152" bestFit="1" customWidth="1"/>
    <col min="8716" max="8961" width="9.140625" style="152"/>
    <col min="8962" max="8962" width="18.5703125" style="152" customWidth="1"/>
    <col min="8963" max="8963" width="12.42578125" style="152" bestFit="1" customWidth="1"/>
    <col min="8964" max="8964" width="8.42578125" style="152" bestFit="1" customWidth="1"/>
    <col min="8965" max="8965" width="10.85546875" style="152" bestFit="1" customWidth="1"/>
    <col min="8966" max="8966" width="7.5703125" style="152" bestFit="1" customWidth="1"/>
    <col min="8967" max="8967" width="12.42578125" style="152" bestFit="1" customWidth="1"/>
    <col min="8968" max="8968" width="7" style="152" bestFit="1" customWidth="1"/>
    <col min="8969" max="8969" width="9.85546875" style="152" bestFit="1" customWidth="1"/>
    <col min="8970" max="8970" width="10.28515625" style="152" bestFit="1" customWidth="1"/>
    <col min="8971" max="8971" width="11.28515625" style="152" bestFit="1" customWidth="1"/>
    <col min="8972" max="9217" width="9.140625" style="152"/>
    <col min="9218" max="9218" width="18.5703125" style="152" customWidth="1"/>
    <col min="9219" max="9219" width="12.42578125" style="152" bestFit="1" customWidth="1"/>
    <col min="9220" max="9220" width="8.42578125" style="152" bestFit="1" customWidth="1"/>
    <col min="9221" max="9221" width="10.85546875" style="152" bestFit="1" customWidth="1"/>
    <col min="9222" max="9222" width="7.5703125" style="152" bestFit="1" customWidth="1"/>
    <col min="9223" max="9223" width="12.42578125" style="152" bestFit="1" customWidth="1"/>
    <col min="9224" max="9224" width="7" style="152" bestFit="1" customWidth="1"/>
    <col min="9225" max="9225" width="9.85546875" style="152" bestFit="1" customWidth="1"/>
    <col min="9226" max="9226" width="10.28515625" style="152" bestFit="1" customWidth="1"/>
    <col min="9227" max="9227" width="11.28515625" style="152" bestFit="1" customWidth="1"/>
    <col min="9228" max="9473" width="9.140625" style="152"/>
    <col min="9474" max="9474" width="18.5703125" style="152" customWidth="1"/>
    <col min="9475" max="9475" width="12.42578125" style="152" bestFit="1" customWidth="1"/>
    <col min="9476" max="9476" width="8.42578125" style="152" bestFit="1" customWidth="1"/>
    <col min="9477" max="9477" width="10.85546875" style="152" bestFit="1" customWidth="1"/>
    <col min="9478" max="9478" width="7.5703125" style="152" bestFit="1" customWidth="1"/>
    <col min="9479" max="9479" width="12.42578125" style="152" bestFit="1" customWidth="1"/>
    <col min="9480" max="9480" width="7" style="152" bestFit="1" customWidth="1"/>
    <col min="9481" max="9481" width="9.85546875" style="152" bestFit="1" customWidth="1"/>
    <col min="9482" max="9482" width="10.28515625" style="152" bestFit="1" customWidth="1"/>
    <col min="9483" max="9483" width="11.28515625" style="152" bestFit="1" customWidth="1"/>
    <col min="9484" max="9729" width="9.140625" style="152"/>
    <col min="9730" max="9730" width="18.5703125" style="152" customWidth="1"/>
    <col min="9731" max="9731" width="12.42578125" style="152" bestFit="1" customWidth="1"/>
    <col min="9732" max="9732" width="8.42578125" style="152" bestFit="1" customWidth="1"/>
    <col min="9733" max="9733" width="10.85546875" style="152" bestFit="1" customWidth="1"/>
    <col min="9734" max="9734" width="7.5703125" style="152" bestFit="1" customWidth="1"/>
    <col min="9735" max="9735" width="12.42578125" style="152" bestFit="1" customWidth="1"/>
    <col min="9736" max="9736" width="7" style="152" bestFit="1" customWidth="1"/>
    <col min="9737" max="9737" width="9.85546875" style="152" bestFit="1" customWidth="1"/>
    <col min="9738" max="9738" width="10.28515625" style="152" bestFit="1" customWidth="1"/>
    <col min="9739" max="9739" width="11.28515625" style="152" bestFit="1" customWidth="1"/>
    <col min="9740" max="9985" width="9.140625" style="152"/>
    <col min="9986" max="9986" width="18.5703125" style="152" customWidth="1"/>
    <col min="9987" max="9987" width="12.42578125" style="152" bestFit="1" customWidth="1"/>
    <col min="9988" max="9988" width="8.42578125" style="152" bestFit="1" customWidth="1"/>
    <col min="9989" max="9989" width="10.85546875" style="152" bestFit="1" customWidth="1"/>
    <col min="9990" max="9990" width="7.5703125" style="152" bestFit="1" customWidth="1"/>
    <col min="9991" max="9991" width="12.42578125" style="152" bestFit="1" customWidth="1"/>
    <col min="9992" max="9992" width="7" style="152" bestFit="1" customWidth="1"/>
    <col min="9993" max="9993" width="9.85546875" style="152" bestFit="1" customWidth="1"/>
    <col min="9994" max="9994" width="10.28515625" style="152" bestFit="1" customWidth="1"/>
    <col min="9995" max="9995" width="11.28515625" style="152" bestFit="1" customWidth="1"/>
    <col min="9996" max="10241" width="9.140625" style="152"/>
    <col min="10242" max="10242" width="18.5703125" style="152" customWidth="1"/>
    <col min="10243" max="10243" width="12.42578125" style="152" bestFit="1" customWidth="1"/>
    <col min="10244" max="10244" width="8.42578125" style="152" bestFit="1" customWidth="1"/>
    <col min="10245" max="10245" width="10.85546875" style="152" bestFit="1" customWidth="1"/>
    <col min="10246" max="10246" width="7.5703125" style="152" bestFit="1" customWidth="1"/>
    <col min="10247" max="10247" width="12.42578125" style="152" bestFit="1" customWidth="1"/>
    <col min="10248" max="10248" width="7" style="152" bestFit="1" customWidth="1"/>
    <col min="10249" max="10249" width="9.85546875" style="152" bestFit="1" customWidth="1"/>
    <col min="10250" max="10250" width="10.28515625" style="152" bestFit="1" customWidth="1"/>
    <col min="10251" max="10251" width="11.28515625" style="152" bestFit="1" customWidth="1"/>
    <col min="10252" max="10497" width="9.140625" style="152"/>
    <col min="10498" max="10498" width="18.5703125" style="152" customWidth="1"/>
    <col min="10499" max="10499" width="12.42578125" style="152" bestFit="1" customWidth="1"/>
    <col min="10500" max="10500" width="8.42578125" style="152" bestFit="1" customWidth="1"/>
    <col min="10501" max="10501" width="10.85546875" style="152" bestFit="1" customWidth="1"/>
    <col min="10502" max="10502" width="7.5703125" style="152" bestFit="1" customWidth="1"/>
    <col min="10503" max="10503" width="12.42578125" style="152" bestFit="1" customWidth="1"/>
    <col min="10504" max="10504" width="7" style="152" bestFit="1" customWidth="1"/>
    <col min="10505" max="10505" width="9.85546875" style="152" bestFit="1" customWidth="1"/>
    <col min="10506" max="10506" width="10.28515625" style="152" bestFit="1" customWidth="1"/>
    <col min="10507" max="10507" width="11.28515625" style="152" bestFit="1" customWidth="1"/>
    <col min="10508" max="10753" width="9.140625" style="152"/>
    <col min="10754" max="10754" width="18.5703125" style="152" customWidth="1"/>
    <col min="10755" max="10755" width="12.42578125" style="152" bestFit="1" customWidth="1"/>
    <col min="10756" max="10756" width="8.42578125" style="152" bestFit="1" customWidth="1"/>
    <col min="10757" max="10757" width="10.85546875" style="152" bestFit="1" customWidth="1"/>
    <col min="10758" max="10758" width="7.5703125" style="152" bestFit="1" customWidth="1"/>
    <col min="10759" max="10759" width="12.42578125" style="152" bestFit="1" customWidth="1"/>
    <col min="10760" max="10760" width="7" style="152" bestFit="1" customWidth="1"/>
    <col min="10761" max="10761" width="9.85546875" style="152" bestFit="1" customWidth="1"/>
    <col min="10762" max="10762" width="10.28515625" style="152" bestFit="1" customWidth="1"/>
    <col min="10763" max="10763" width="11.28515625" style="152" bestFit="1" customWidth="1"/>
    <col min="10764" max="11009" width="9.140625" style="152"/>
    <col min="11010" max="11010" width="18.5703125" style="152" customWidth="1"/>
    <col min="11011" max="11011" width="12.42578125" style="152" bestFit="1" customWidth="1"/>
    <col min="11012" max="11012" width="8.42578125" style="152" bestFit="1" customWidth="1"/>
    <col min="11013" max="11013" width="10.85546875" style="152" bestFit="1" customWidth="1"/>
    <col min="11014" max="11014" width="7.5703125" style="152" bestFit="1" customWidth="1"/>
    <col min="11015" max="11015" width="12.42578125" style="152" bestFit="1" customWidth="1"/>
    <col min="11016" max="11016" width="7" style="152" bestFit="1" customWidth="1"/>
    <col min="11017" max="11017" width="9.85546875" style="152" bestFit="1" customWidth="1"/>
    <col min="11018" max="11018" width="10.28515625" style="152" bestFit="1" customWidth="1"/>
    <col min="11019" max="11019" width="11.28515625" style="152" bestFit="1" customWidth="1"/>
    <col min="11020" max="11265" width="9.140625" style="152"/>
    <col min="11266" max="11266" width="18.5703125" style="152" customWidth="1"/>
    <col min="11267" max="11267" width="12.42578125" style="152" bestFit="1" customWidth="1"/>
    <col min="11268" max="11268" width="8.42578125" style="152" bestFit="1" customWidth="1"/>
    <col min="11269" max="11269" width="10.85546875" style="152" bestFit="1" customWidth="1"/>
    <col min="11270" max="11270" width="7.5703125" style="152" bestFit="1" customWidth="1"/>
    <col min="11271" max="11271" width="12.42578125" style="152" bestFit="1" customWidth="1"/>
    <col min="11272" max="11272" width="7" style="152" bestFit="1" customWidth="1"/>
    <col min="11273" max="11273" width="9.85546875" style="152" bestFit="1" customWidth="1"/>
    <col min="11274" max="11274" width="10.28515625" style="152" bestFit="1" customWidth="1"/>
    <col min="11275" max="11275" width="11.28515625" style="152" bestFit="1" customWidth="1"/>
    <col min="11276" max="11521" width="9.140625" style="152"/>
    <col min="11522" max="11522" width="18.5703125" style="152" customWidth="1"/>
    <col min="11523" max="11523" width="12.42578125" style="152" bestFit="1" customWidth="1"/>
    <col min="11524" max="11524" width="8.42578125" style="152" bestFit="1" customWidth="1"/>
    <col min="11525" max="11525" width="10.85546875" style="152" bestFit="1" customWidth="1"/>
    <col min="11526" max="11526" width="7.5703125" style="152" bestFit="1" customWidth="1"/>
    <col min="11527" max="11527" width="12.42578125" style="152" bestFit="1" customWidth="1"/>
    <col min="11528" max="11528" width="7" style="152" bestFit="1" customWidth="1"/>
    <col min="11529" max="11529" width="9.85546875" style="152" bestFit="1" customWidth="1"/>
    <col min="11530" max="11530" width="10.28515625" style="152" bestFit="1" customWidth="1"/>
    <col min="11531" max="11531" width="11.28515625" style="152" bestFit="1" customWidth="1"/>
    <col min="11532" max="11777" width="9.140625" style="152"/>
    <col min="11778" max="11778" width="18.5703125" style="152" customWidth="1"/>
    <col min="11779" max="11779" width="12.42578125" style="152" bestFit="1" customWidth="1"/>
    <col min="11780" max="11780" width="8.42578125" style="152" bestFit="1" customWidth="1"/>
    <col min="11781" max="11781" width="10.85546875" style="152" bestFit="1" customWidth="1"/>
    <col min="11782" max="11782" width="7.5703125" style="152" bestFit="1" customWidth="1"/>
    <col min="11783" max="11783" width="12.42578125" style="152" bestFit="1" customWidth="1"/>
    <col min="11784" max="11784" width="7" style="152" bestFit="1" customWidth="1"/>
    <col min="11785" max="11785" width="9.85546875" style="152" bestFit="1" customWidth="1"/>
    <col min="11786" max="11786" width="10.28515625" style="152" bestFit="1" customWidth="1"/>
    <col min="11787" max="11787" width="11.28515625" style="152" bestFit="1" customWidth="1"/>
    <col min="11788" max="12033" width="9.140625" style="152"/>
    <col min="12034" max="12034" width="18.5703125" style="152" customWidth="1"/>
    <col min="12035" max="12035" width="12.42578125" style="152" bestFit="1" customWidth="1"/>
    <col min="12036" max="12036" width="8.42578125" style="152" bestFit="1" customWidth="1"/>
    <col min="12037" max="12037" width="10.85546875" style="152" bestFit="1" customWidth="1"/>
    <col min="12038" max="12038" width="7.5703125" style="152" bestFit="1" customWidth="1"/>
    <col min="12039" max="12039" width="12.42578125" style="152" bestFit="1" customWidth="1"/>
    <col min="12040" max="12040" width="7" style="152" bestFit="1" customWidth="1"/>
    <col min="12041" max="12041" width="9.85546875" style="152" bestFit="1" customWidth="1"/>
    <col min="12042" max="12042" width="10.28515625" style="152" bestFit="1" customWidth="1"/>
    <col min="12043" max="12043" width="11.28515625" style="152" bestFit="1" customWidth="1"/>
    <col min="12044" max="12289" width="9.140625" style="152"/>
    <col min="12290" max="12290" width="18.5703125" style="152" customWidth="1"/>
    <col min="12291" max="12291" width="12.42578125" style="152" bestFit="1" customWidth="1"/>
    <col min="12292" max="12292" width="8.42578125" style="152" bestFit="1" customWidth="1"/>
    <col min="12293" max="12293" width="10.85546875" style="152" bestFit="1" customWidth="1"/>
    <col min="12294" max="12294" width="7.5703125" style="152" bestFit="1" customWidth="1"/>
    <col min="12295" max="12295" width="12.42578125" style="152" bestFit="1" customWidth="1"/>
    <col min="12296" max="12296" width="7" style="152" bestFit="1" customWidth="1"/>
    <col min="12297" max="12297" width="9.85546875" style="152" bestFit="1" customWidth="1"/>
    <col min="12298" max="12298" width="10.28515625" style="152" bestFit="1" customWidth="1"/>
    <col min="12299" max="12299" width="11.28515625" style="152" bestFit="1" customWidth="1"/>
    <col min="12300" max="12545" width="9.140625" style="152"/>
    <col min="12546" max="12546" width="18.5703125" style="152" customWidth="1"/>
    <col min="12547" max="12547" width="12.42578125" style="152" bestFit="1" customWidth="1"/>
    <col min="12548" max="12548" width="8.42578125" style="152" bestFit="1" customWidth="1"/>
    <col min="12549" max="12549" width="10.85546875" style="152" bestFit="1" customWidth="1"/>
    <col min="12550" max="12550" width="7.5703125" style="152" bestFit="1" customWidth="1"/>
    <col min="12551" max="12551" width="12.42578125" style="152" bestFit="1" customWidth="1"/>
    <col min="12552" max="12552" width="7" style="152" bestFit="1" customWidth="1"/>
    <col min="12553" max="12553" width="9.85546875" style="152" bestFit="1" customWidth="1"/>
    <col min="12554" max="12554" width="10.28515625" style="152" bestFit="1" customWidth="1"/>
    <col min="12555" max="12555" width="11.28515625" style="152" bestFit="1" customWidth="1"/>
    <col min="12556" max="12801" width="9.140625" style="152"/>
    <col min="12802" max="12802" width="18.5703125" style="152" customWidth="1"/>
    <col min="12803" max="12803" width="12.42578125" style="152" bestFit="1" customWidth="1"/>
    <col min="12804" max="12804" width="8.42578125" style="152" bestFit="1" customWidth="1"/>
    <col min="12805" max="12805" width="10.85546875" style="152" bestFit="1" customWidth="1"/>
    <col min="12806" max="12806" width="7.5703125" style="152" bestFit="1" customWidth="1"/>
    <col min="12807" max="12807" width="12.42578125" style="152" bestFit="1" customWidth="1"/>
    <col min="12808" max="12808" width="7" style="152" bestFit="1" customWidth="1"/>
    <col min="12809" max="12809" width="9.85546875" style="152" bestFit="1" customWidth="1"/>
    <col min="12810" max="12810" width="10.28515625" style="152" bestFit="1" customWidth="1"/>
    <col min="12811" max="12811" width="11.28515625" style="152" bestFit="1" customWidth="1"/>
    <col min="12812" max="13057" width="9.140625" style="152"/>
    <col min="13058" max="13058" width="18.5703125" style="152" customWidth="1"/>
    <col min="13059" max="13059" width="12.42578125" style="152" bestFit="1" customWidth="1"/>
    <col min="13060" max="13060" width="8.42578125" style="152" bestFit="1" customWidth="1"/>
    <col min="13061" max="13061" width="10.85546875" style="152" bestFit="1" customWidth="1"/>
    <col min="13062" max="13062" width="7.5703125" style="152" bestFit="1" customWidth="1"/>
    <col min="13063" max="13063" width="12.42578125" style="152" bestFit="1" customWidth="1"/>
    <col min="13064" max="13064" width="7" style="152" bestFit="1" customWidth="1"/>
    <col min="13065" max="13065" width="9.85546875" style="152" bestFit="1" customWidth="1"/>
    <col min="13066" max="13066" width="10.28515625" style="152" bestFit="1" customWidth="1"/>
    <col min="13067" max="13067" width="11.28515625" style="152" bestFit="1" customWidth="1"/>
    <col min="13068" max="13313" width="9.140625" style="152"/>
    <col min="13314" max="13314" width="18.5703125" style="152" customWidth="1"/>
    <col min="13315" max="13315" width="12.42578125" style="152" bestFit="1" customWidth="1"/>
    <col min="13316" max="13316" width="8.42578125" style="152" bestFit="1" customWidth="1"/>
    <col min="13317" max="13317" width="10.85546875" style="152" bestFit="1" customWidth="1"/>
    <col min="13318" max="13318" width="7.5703125" style="152" bestFit="1" customWidth="1"/>
    <col min="13319" max="13319" width="12.42578125" style="152" bestFit="1" customWidth="1"/>
    <col min="13320" max="13320" width="7" style="152" bestFit="1" customWidth="1"/>
    <col min="13321" max="13321" width="9.85546875" style="152" bestFit="1" customWidth="1"/>
    <col min="13322" max="13322" width="10.28515625" style="152" bestFit="1" customWidth="1"/>
    <col min="13323" max="13323" width="11.28515625" style="152" bestFit="1" customWidth="1"/>
    <col min="13324" max="13569" width="9.140625" style="152"/>
    <col min="13570" max="13570" width="18.5703125" style="152" customWidth="1"/>
    <col min="13571" max="13571" width="12.42578125" style="152" bestFit="1" customWidth="1"/>
    <col min="13572" max="13572" width="8.42578125" style="152" bestFit="1" customWidth="1"/>
    <col min="13573" max="13573" width="10.85546875" style="152" bestFit="1" customWidth="1"/>
    <col min="13574" max="13574" width="7.5703125" style="152" bestFit="1" customWidth="1"/>
    <col min="13575" max="13575" width="12.42578125" style="152" bestFit="1" customWidth="1"/>
    <col min="13576" max="13576" width="7" style="152" bestFit="1" customWidth="1"/>
    <col min="13577" max="13577" width="9.85546875" style="152" bestFit="1" customWidth="1"/>
    <col min="13578" max="13578" width="10.28515625" style="152" bestFit="1" customWidth="1"/>
    <col min="13579" max="13579" width="11.28515625" style="152" bestFit="1" customWidth="1"/>
    <col min="13580" max="13825" width="9.140625" style="152"/>
    <col min="13826" max="13826" width="18.5703125" style="152" customWidth="1"/>
    <col min="13827" max="13827" width="12.42578125" style="152" bestFit="1" customWidth="1"/>
    <col min="13828" max="13828" width="8.42578125" style="152" bestFit="1" customWidth="1"/>
    <col min="13829" max="13829" width="10.85546875" style="152" bestFit="1" customWidth="1"/>
    <col min="13830" max="13830" width="7.5703125" style="152" bestFit="1" customWidth="1"/>
    <col min="13831" max="13831" width="12.42578125" style="152" bestFit="1" customWidth="1"/>
    <col min="13832" max="13832" width="7" style="152" bestFit="1" customWidth="1"/>
    <col min="13833" max="13833" width="9.85546875" style="152" bestFit="1" customWidth="1"/>
    <col min="13834" max="13834" width="10.28515625" style="152" bestFit="1" customWidth="1"/>
    <col min="13835" max="13835" width="11.28515625" style="152" bestFit="1" customWidth="1"/>
    <col min="13836" max="14081" width="9.140625" style="152"/>
    <col min="14082" max="14082" width="18.5703125" style="152" customWidth="1"/>
    <col min="14083" max="14083" width="12.42578125" style="152" bestFit="1" customWidth="1"/>
    <col min="14084" max="14084" width="8.42578125" style="152" bestFit="1" customWidth="1"/>
    <col min="14085" max="14085" width="10.85546875" style="152" bestFit="1" customWidth="1"/>
    <col min="14086" max="14086" width="7.5703125" style="152" bestFit="1" customWidth="1"/>
    <col min="14087" max="14087" width="12.42578125" style="152" bestFit="1" customWidth="1"/>
    <col min="14088" max="14088" width="7" style="152" bestFit="1" customWidth="1"/>
    <col min="14089" max="14089" width="9.85546875" style="152" bestFit="1" customWidth="1"/>
    <col min="14090" max="14090" width="10.28515625" style="152" bestFit="1" customWidth="1"/>
    <col min="14091" max="14091" width="11.28515625" style="152" bestFit="1" customWidth="1"/>
    <col min="14092" max="14337" width="9.140625" style="152"/>
    <col min="14338" max="14338" width="18.5703125" style="152" customWidth="1"/>
    <col min="14339" max="14339" width="12.42578125" style="152" bestFit="1" customWidth="1"/>
    <col min="14340" max="14340" width="8.42578125" style="152" bestFit="1" customWidth="1"/>
    <col min="14341" max="14341" width="10.85546875" style="152" bestFit="1" customWidth="1"/>
    <col min="14342" max="14342" width="7.5703125" style="152" bestFit="1" customWidth="1"/>
    <col min="14343" max="14343" width="12.42578125" style="152" bestFit="1" customWidth="1"/>
    <col min="14344" max="14344" width="7" style="152" bestFit="1" customWidth="1"/>
    <col min="14345" max="14345" width="9.85546875" style="152" bestFit="1" customWidth="1"/>
    <col min="14346" max="14346" width="10.28515625" style="152" bestFit="1" customWidth="1"/>
    <col min="14347" max="14347" width="11.28515625" style="152" bestFit="1" customWidth="1"/>
    <col min="14348" max="14593" width="9.140625" style="152"/>
    <col min="14594" max="14594" width="18.5703125" style="152" customWidth="1"/>
    <col min="14595" max="14595" width="12.42578125" style="152" bestFit="1" customWidth="1"/>
    <col min="14596" max="14596" width="8.42578125" style="152" bestFit="1" customWidth="1"/>
    <col min="14597" max="14597" width="10.85546875" style="152" bestFit="1" customWidth="1"/>
    <col min="14598" max="14598" width="7.5703125" style="152" bestFit="1" customWidth="1"/>
    <col min="14599" max="14599" width="12.42578125" style="152" bestFit="1" customWidth="1"/>
    <col min="14600" max="14600" width="7" style="152" bestFit="1" customWidth="1"/>
    <col min="14601" max="14601" width="9.85546875" style="152" bestFit="1" customWidth="1"/>
    <col min="14602" max="14602" width="10.28515625" style="152" bestFit="1" customWidth="1"/>
    <col min="14603" max="14603" width="11.28515625" style="152" bestFit="1" customWidth="1"/>
    <col min="14604" max="14849" width="9.140625" style="152"/>
    <col min="14850" max="14850" width="18.5703125" style="152" customWidth="1"/>
    <col min="14851" max="14851" width="12.42578125" style="152" bestFit="1" customWidth="1"/>
    <col min="14852" max="14852" width="8.42578125" style="152" bestFit="1" customWidth="1"/>
    <col min="14853" max="14853" width="10.85546875" style="152" bestFit="1" customWidth="1"/>
    <col min="14854" max="14854" width="7.5703125" style="152" bestFit="1" customWidth="1"/>
    <col min="14855" max="14855" width="12.42578125" style="152" bestFit="1" customWidth="1"/>
    <col min="14856" max="14856" width="7" style="152" bestFit="1" customWidth="1"/>
    <col min="14857" max="14857" width="9.85546875" style="152" bestFit="1" customWidth="1"/>
    <col min="14858" max="14858" width="10.28515625" style="152" bestFit="1" customWidth="1"/>
    <col min="14859" max="14859" width="11.28515625" style="152" bestFit="1" customWidth="1"/>
    <col min="14860" max="15105" width="9.140625" style="152"/>
    <col min="15106" max="15106" width="18.5703125" style="152" customWidth="1"/>
    <col min="15107" max="15107" width="12.42578125" style="152" bestFit="1" customWidth="1"/>
    <col min="15108" max="15108" width="8.42578125" style="152" bestFit="1" customWidth="1"/>
    <col min="15109" max="15109" width="10.85546875" style="152" bestFit="1" customWidth="1"/>
    <col min="15110" max="15110" width="7.5703125" style="152" bestFit="1" customWidth="1"/>
    <col min="15111" max="15111" width="12.42578125" style="152" bestFit="1" customWidth="1"/>
    <col min="15112" max="15112" width="7" style="152" bestFit="1" customWidth="1"/>
    <col min="15113" max="15113" width="9.85546875" style="152" bestFit="1" customWidth="1"/>
    <col min="15114" max="15114" width="10.28515625" style="152" bestFit="1" customWidth="1"/>
    <col min="15115" max="15115" width="11.28515625" style="152" bestFit="1" customWidth="1"/>
    <col min="15116" max="15361" width="9.140625" style="152"/>
    <col min="15362" max="15362" width="18.5703125" style="152" customWidth="1"/>
    <col min="15363" max="15363" width="12.42578125" style="152" bestFit="1" customWidth="1"/>
    <col min="15364" max="15364" width="8.42578125" style="152" bestFit="1" customWidth="1"/>
    <col min="15365" max="15365" width="10.85546875" style="152" bestFit="1" customWidth="1"/>
    <col min="15366" max="15366" width="7.5703125" style="152" bestFit="1" customWidth="1"/>
    <col min="15367" max="15367" width="12.42578125" style="152" bestFit="1" customWidth="1"/>
    <col min="15368" max="15368" width="7" style="152" bestFit="1" customWidth="1"/>
    <col min="15369" max="15369" width="9.85546875" style="152" bestFit="1" customWidth="1"/>
    <col min="15370" max="15370" width="10.28515625" style="152" bestFit="1" customWidth="1"/>
    <col min="15371" max="15371" width="11.28515625" style="152" bestFit="1" customWidth="1"/>
    <col min="15372" max="15617" width="9.140625" style="152"/>
    <col min="15618" max="15618" width="18.5703125" style="152" customWidth="1"/>
    <col min="15619" max="15619" width="12.42578125" style="152" bestFit="1" customWidth="1"/>
    <col min="15620" max="15620" width="8.42578125" style="152" bestFit="1" customWidth="1"/>
    <col min="15621" max="15621" width="10.85546875" style="152" bestFit="1" customWidth="1"/>
    <col min="15622" max="15622" width="7.5703125" style="152" bestFit="1" customWidth="1"/>
    <col min="15623" max="15623" width="12.42578125" style="152" bestFit="1" customWidth="1"/>
    <col min="15624" max="15624" width="7" style="152" bestFit="1" customWidth="1"/>
    <col min="15625" max="15625" width="9.85546875" style="152" bestFit="1" customWidth="1"/>
    <col min="15626" max="15626" width="10.28515625" style="152" bestFit="1" customWidth="1"/>
    <col min="15627" max="15627" width="11.28515625" style="152" bestFit="1" customWidth="1"/>
    <col min="15628" max="15873" width="9.140625" style="152"/>
    <col min="15874" max="15874" width="18.5703125" style="152" customWidth="1"/>
    <col min="15875" max="15875" width="12.42578125" style="152" bestFit="1" customWidth="1"/>
    <col min="15876" max="15876" width="8.42578125" style="152" bestFit="1" customWidth="1"/>
    <col min="15877" max="15877" width="10.85546875" style="152" bestFit="1" customWidth="1"/>
    <col min="15878" max="15878" width="7.5703125" style="152" bestFit="1" customWidth="1"/>
    <col min="15879" max="15879" width="12.42578125" style="152" bestFit="1" customWidth="1"/>
    <col min="15880" max="15880" width="7" style="152" bestFit="1" customWidth="1"/>
    <col min="15881" max="15881" width="9.85546875" style="152" bestFit="1" customWidth="1"/>
    <col min="15882" max="15882" width="10.28515625" style="152" bestFit="1" customWidth="1"/>
    <col min="15883" max="15883" width="11.28515625" style="152" bestFit="1" customWidth="1"/>
    <col min="15884" max="16129" width="9.140625" style="152"/>
    <col min="16130" max="16130" width="18.5703125" style="152" customWidth="1"/>
    <col min="16131" max="16131" width="12.42578125" style="152" bestFit="1" customWidth="1"/>
    <col min="16132" max="16132" width="8.42578125" style="152" bestFit="1" customWidth="1"/>
    <col min="16133" max="16133" width="10.85546875" style="152" bestFit="1" customWidth="1"/>
    <col min="16134" max="16134" width="7.5703125" style="152" bestFit="1" customWidth="1"/>
    <col min="16135" max="16135" width="12.42578125" style="152" bestFit="1" customWidth="1"/>
    <col min="16136" max="16136" width="7" style="152" bestFit="1" customWidth="1"/>
    <col min="16137" max="16137" width="9.85546875" style="152" bestFit="1" customWidth="1"/>
    <col min="16138" max="16138" width="10.28515625" style="152" bestFit="1" customWidth="1"/>
    <col min="16139" max="16139" width="11.28515625" style="152" bestFit="1" customWidth="1"/>
    <col min="16140" max="16384" width="9.140625" style="152"/>
  </cols>
  <sheetData>
    <row r="1" spans="1:10">
      <c r="A1" s="1" t="s">
        <v>296</v>
      </c>
      <c r="B1" s="1"/>
      <c r="C1" s="1"/>
      <c r="D1" s="1"/>
      <c r="E1" s="1"/>
      <c r="F1" s="1"/>
      <c r="G1" s="1"/>
      <c r="H1" s="1"/>
    </row>
    <row r="2" spans="1:10">
      <c r="A2" s="464" t="s">
        <v>295</v>
      </c>
      <c r="B2" s="465"/>
      <c r="C2" s="465"/>
      <c r="D2" s="465"/>
      <c r="E2" s="465"/>
      <c r="F2" s="465"/>
      <c r="G2" s="465"/>
      <c r="H2" s="466"/>
    </row>
    <row r="3" spans="1:10">
      <c r="A3" s="446" t="s">
        <v>0</v>
      </c>
      <c r="B3" s="447"/>
      <c r="C3" s="447"/>
      <c r="D3" s="447"/>
      <c r="E3" s="447"/>
      <c r="F3" s="447"/>
      <c r="G3" s="447"/>
      <c r="H3" s="448"/>
    </row>
    <row r="4" spans="1:10">
      <c r="A4" s="446" t="s">
        <v>160</v>
      </c>
      <c r="B4" s="447"/>
      <c r="C4" s="447"/>
      <c r="D4" s="447"/>
      <c r="E4" s="447"/>
      <c r="F4" s="447"/>
      <c r="G4" s="447"/>
      <c r="H4" s="448"/>
    </row>
    <row r="5" spans="1:10">
      <c r="A5" s="464" t="s">
        <v>157</v>
      </c>
      <c r="B5" s="465"/>
      <c r="C5" s="465"/>
      <c r="D5" s="465"/>
      <c r="E5" s="465"/>
      <c r="F5" s="465"/>
      <c r="G5" s="465"/>
      <c r="H5" s="466"/>
    </row>
    <row r="6" spans="1:10">
      <c r="A6" s="446" t="s">
        <v>126</v>
      </c>
      <c r="B6" s="447"/>
      <c r="C6" s="447"/>
      <c r="D6" s="447"/>
      <c r="E6" s="447"/>
      <c r="F6" s="447"/>
      <c r="G6" s="447"/>
      <c r="H6" s="448"/>
    </row>
    <row r="7" spans="1:10">
      <c r="A7" s="486" t="s">
        <v>26</v>
      </c>
      <c r="B7" s="487"/>
      <c r="C7" s="487"/>
      <c r="D7" s="487"/>
      <c r="E7" s="487"/>
      <c r="F7" s="488"/>
      <c r="G7" s="89"/>
      <c r="H7" s="173">
        <v>1</v>
      </c>
    </row>
    <row r="8" spans="1:10">
      <c r="A8" s="489" t="s">
        <v>27</v>
      </c>
      <c r="B8" s="489"/>
      <c r="C8" s="489"/>
      <c r="D8" s="489"/>
      <c r="E8" s="489"/>
      <c r="F8" s="489"/>
      <c r="G8" s="489"/>
      <c r="H8" s="489"/>
    </row>
    <row r="9" spans="1:10">
      <c r="A9" s="480" t="s">
        <v>28</v>
      </c>
      <c r="B9" s="484">
        <v>44439</v>
      </c>
      <c r="C9" s="482">
        <v>2020</v>
      </c>
      <c r="D9" s="482" t="s">
        <v>10</v>
      </c>
      <c r="E9" s="482">
        <v>2019</v>
      </c>
      <c r="F9" s="482" t="s">
        <v>10</v>
      </c>
      <c r="G9" s="482">
        <v>2018</v>
      </c>
      <c r="H9" s="482" t="s">
        <v>10</v>
      </c>
    </row>
    <row r="10" spans="1:10">
      <c r="A10" s="481"/>
      <c r="B10" s="483"/>
      <c r="C10" s="483"/>
      <c r="D10" s="483"/>
      <c r="E10" s="483"/>
      <c r="F10" s="483"/>
      <c r="G10" s="483"/>
      <c r="H10" s="483"/>
    </row>
    <row r="11" spans="1:10">
      <c r="A11" s="9" t="s">
        <v>29</v>
      </c>
      <c r="B11" s="28">
        <f>C14</f>
        <v>54257841.100000001</v>
      </c>
      <c r="C11" s="20">
        <f>E14</f>
        <v>41828558.480000004</v>
      </c>
      <c r="D11" s="21">
        <f>C11/C14</f>
        <v>0.77092190975508612</v>
      </c>
      <c r="E11" s="22">
        <f>G14</f>
        <v>30970504.809999999</v>
      </c>
      <c r="F11" s="21">
        <f>E11/E14</f>
        <v>0.7404153032146279</v>
      </c>
      <c r="G11" s="23">
        <f>G20+G28+G36+G45</f>
        <v>17204885.379999999</v>
      </c>
      <c r="H11" s="21">
        <f>G11/G14</f>
        <v>0.55552486101049126</v>
      </c>
    </row>
    <row r="12" spans="1:10">
      <c r="A12" s="9" t="s">
        <v>30</v>
      </c>
      <c r="B12" s="9"/>
      <c r="C12" s="23">
        <f>C21+C37+C46</f>
        <v>0</v>
      </c>
      <c r="D12" s="21">
        <f>C12/C14</f>
        <v>0</v>
      </c>
      <c r="E12" s="23">
        <f>E21+E29+E37+E46</f>
        <v>0</v>
      </c>
      <c r="F12" s="21">
        <f>E12/E14</f>
        <v>0</v>
      </c>
      <c r="G12" s="23">
        <f>G21+G29+G37+G46</f>
        <v>0</v>
      </c>
      <c r="H12" s="21">
        <f>G12/G14</f>
        <v>0</v>
      </c>
    </row>
    <row r="13" spans="1:10">
      <c r="A13" s="14" t="s">
        <v>31</v>
      </c>
      <c r="B13" s="24">
        <f>B22+B30+B38+B47</f>
        <v>-99755095.959999993</v>
      </c>
      <c r="C13" s="24">
        <f>C22+C30+C38+C47</f>
        <v>12429282.619999999</v>
      </c>
      <c r="D13" s="25">
        <f>C13/C14</f>
        <v>0.22907809024491391</v>
      </c>
      <c r="E13" s="24">
        <f>E22+E30+E38+E47</f>
        <v>10858053.670000002</v>
      </c>
      <c r="F13" s="25">
        <f>E13/E14</f>
        <v>0.25958469678537199</v>
      </c>
      <c r="G13" s="24">
        <f>G22+G30+G38+G47</f>
        <v>13765619.43</v>
      </c>
      <c r="H13" s="25">
        <f>G13/G14</f>
        <v>0.4444751389895088</v>
      </c>
    </row>
    <row r="14" spans="1:10">
      <c r="A14" s="14" t="s">
        <v>32</v>
      </c>
      <c r="B14" s="26">
        <f>SUM(B11:B13)</f>
        <v>-45497254.859999992</v>
      </c>
      <c r="C14" s="26">
        <f t="shared" ref="C14:H14" si="0">SUM(C11:C13)</f>
        <v>54257841.100000001</v>
      </c>
      <c r="D14" s="25">
        <f t="shared" si="0"/>
        <v>1</v>
      </c>
      <c r="E14" s="27">
        <f>SUM(E11:E13)</f>
        <v>41828558.480000004</v>
      </c>
      <c r="F14" s="25">
        <f t="shared" si="0"/>
        <v>0.99999999999999989</v>
      </c>
      <c r="G14" s="27">
        <f t="shared" si="0"/>
        <v>30970504.809999999</v>
      </c>
      <c r="H14" s="25">
        <f t="shared" si="0"/>
        <v>1</v>
      </c>
    </row>
    <row r="15" spans="1:10">
      <c r="A15" s="445" t="s">
        <v>33</v>
      </c>
      <c r="B15" s="445"/>
      <c r="C15" s="445"/>
      <c r="D15" s="445"/>
      <c r="E15" s="445"/>
      <c r="F15" s="445"/>
      <c r="G15" s="445"/>
      <c r="H15" s="445"/>
      <c r="J15" s="195"/>
    </row>
    <row r="16" spans="1:10" s="39" customFormat="1">
      <c r="A16" s="203">
        <f>B23+B31+B39+B48</f>
        <v>-45497254.860000014</v>
      </c>
      <c r="B16" s="201"/>
      <c r="C16" s="177">
        <f>54257841.1-C14</f>
        <v>0</v>
      </c>
      <c r="E16" s="197">
        <f>41828558.48-E14</f>
        <v>0</v>
      </c>
      <c r="G16" s="178">
        <f>30970504.81-G14</f>
        <v>0</v>
      </c>
      <c r="H16" s="179"/>
    </row>
    <row r="17" spans="1:11">
      <c r="A17" s="485" t="s">
        <v>34</v>
      </c>
      <c r="B17" s="485"/>
      <c r="C17" s="485"/>
      <c r="D17" s="485"/>
      <c r="E17" s="485"/>
      <c r="F17" s="485"/>
      <c r="G17" s="485"/>
      <c r="H17" s="485"/>
    </row>
    <row r="18" spans="1:11">
      <c r="A18" s="480" t="s">
        <v>28</v>
      </c>
      <c r="B18" s="484">
        <f>B9</f>
        <v>44439</v>
      </c>
      <c r="C18" s="482">
        <f>C9</f>
        <v>2020</v>
      </c>
      <c r="D18" s="482" t="s">
        <v>10</v>
      </c>
      <c r="E18" s="482">
        <f>E9</f>
        <v>2019</v>
      </c>
      <c r="F18" s="482" t="s">
        <v>10</v>
      </c>
      <c r="G18" s="482">
        <f>G9</f>
        <v>2018</v>
      </c>
      <c r="H18" s="482" t="s">
        <v>10</v>
      </c>
    </row>
    <row r="19" spans="1:11">
      <c r="A19" s="481"/>
      <c r="B19" s="483"/>
      <c r="C19" s="483"/>
      <c r="D19" s="483"/>
      <c r="E19" s="483"/>
      <c r="F19" s="483"/>
      <c r="G19" s="483"/>
      <c r="H19" s="483"/>
    </row>
    <row r="20" spans="1:11">
      <c r="A20" s="9" t="s">
        <v>29</v>
      </c>
      <c r="B20" s="22">
        <f>C23</f>
        <v>10704984.550000001</v>
      </c>
      <c r="C20" s="28">
        <f>E23</f>
        <v>1270607.8600000003</v>
      </c>
      <c r="D20" s="21">
        <f>C20/C23</f>
        <v>0.11869310544684535</v>
      </c>
      <c r="E20" s="191">
        <f>G23</f>
        <v>-3608675.7799999993</v>
      </c>
      <c r="F20" s="21">
        <f>E20/E23</f>
        <v>-2.8401176268498753</v>
      </c>
      <c r="G20" s="191">
        <f>-7603231.67</f>
        <v>-7603231.6699999999</v>
      </c>
      <c r="H20" s="21">
        <f>G20/G23</f>
        <v>2.10693122173475</v>
      </c>
      <c r="J20" s="30"/>
    </row>
    <row r="21" spans="1:11">
      <c r="A21" s="9" t="s">
        <v>30</v>
      </c>
      <c r="B21" s="9"/>
      <c r="C21" s="9"/>
      <c r="D21" s="21">
        <f>C21/C23</f>
        <v>0</v>
      </c>
      <c r="E21" s="191"/>
      <c r="F21" s="21">
        <f>E21/E23</f>
        <v>0</v>
      </c>
      <c r="G21" s="191"/>
      <c r="H21" s="21">
        <f>G21/G23</f>
        <v>0</v>
      </c>
      <c r="J21" s="180"/>
    </row>
    <row r="22" spans="1:11">
      <c r="A22" s="14" t="s">
        <v>31</v>
      </c>
      <c r="B22" s="34">
        <f>79821560.21-74276248.14</f>
        <v>5545312.0699999928</v>
      </c>
      <c r="C22" s="27">
        <f>10704984.55-C20</f>
        <v>9434376.6900000013</v>
      </c>
      <c r="D22" s="25">
        <f>C22/C23</f>
        <v>0.8813068945531547</v>
      </c>
      <c r="E22" s="192">
        <f>1270607.86-E20</f>
        <v>4879283.6399999997</v>
      </c>
      <c r="F22" s="25">
        <f>E22/E23</f>
        <v>3.8401176268498753</v>
      </c>
      <c r="G22" s="192">
        <f>(97309401.95-93314846.06)</f>
        <v>3994555.8900000006</v>
      </c>
      <c r="H22" s="25">
        <f>G22/G23</f>
        <v>-1.1069312217347498</v>
      </c>
    </row>
    <row r="23" spans="1:11">
      <c r="A23" s="14" t="s">
        <v>32</v>
      </c>
      <c r="B23" s="27">
        <f t="shared" ref="B23:H23" si="1">SUM(B20:B22)</f>
        <v>16250296.619999994</v>
      </c>
      <c r="C23" s="27">
        <f t="shared" si="1"/>
        <v>10704984.550000001</v>
      </c>
      <c r="D23" s="32">
        <f t="shared" si="1"/>
        <v>1</v>
      </c>
      <c r="E23" s="192">
        <f>SUM(E20:E22)</f>
        <v>1270607.8600000003</v>
      </c>
      <c r="F23" s="25">
        <f t="shared" si="1"/>
        <v>1</v>
      </c>
      <c r="G23" s="192">
        <f>SUM(G20:G22)</f>
        <v>-3608675.7799999993</v>
      </c>
      <c r="H23" s="25">
        <f t="shared" si="1"/>
        <v>1.0000000000000002</v>
      </c>
      <c r="J23" s="154"/>
    </row>
    <row r="24" spans="1:11" s="39" customFormat="1">
      <c r="A24" s="181"/>
      <c r="B24" s="181"/>
      <c r="C24" s="182">
        <f>10704984.55-C23</f>
        <v>0</v>
      </c>
      <c r="D24" s="181"/>
      <c r="E24" s="196">
        <f>1270607.86-E23</f>
        <v>0</v>
      </c>
      <c r="F24" s="181"/>
      <c r="G24" s="183">
        <f>3608675.78+G23</f>
        <v>0</v>
      </c>
      <c r="H24" s="181"/>
      <c r="J24" s="184"/>
      <c r="K24" s="184"/>
    </row>
    <row r="25" spans="1:11">
      <c r="A25" s="479" t="s">
        <v>35</v>
      </c>
      <c r="B25" s="479"/>
      <c r="C25" s="479"/>
      <c r="D25" s="479"/>
      <c r="E25" s="479"/>
      <c r="F25" s="479"/>
      <c r="G25" s="479"/>
      <c r="H25" s="479"/>
    </row>
    <row r="26" spans="1:11">
      <c r="A26" s="480" t="s">
        <v>28</v>
      </c>
      <c r="B26" s="484">
        <f>B18</f>
        <v>44439</v>
      </c>
      <c r="C26" s="482">
        <f>C18</f>
        <v>2020</v>
      </c>
      <c r="D26" s="482" t="s">
        <v>10</v>
      </c>
      <c r="E26" s="482">
        <f>E18</f>
        <v>2019</v>
      </c>
      <c r="F26" s="482" t="s">
        <v>10</v>
      </c>
      <c r="G26" s="482">
        <f>G18</f>
        <v>2018</v>
      </c>
      <c r="H26" s="482" t="s">
        <v>10</v>
      </c>
    </row>
    <row r="27" spans="1:11">
      <c r="A27" s="481"/>
      <c r="B27" s="483"/>
      <c r="C27" s="483"/>
      <c r="D27" s="483"/>
      <c r="E27" s="483"/>
      <c r="F27" s="483"/>
      <c r="G27" s="483"/>
      <c r="H27" s="483"/>
    </row>
    <row r="28" spans="1:11">
      <c r="A28" s="9" t="s">
        <v>29</v>
      </c>
      <c r="B28" s="22">
        <f>C31</f>
        <v>616834.77</v>
      </c>
      <c r="C28" s="22">
        <f>E31</f>
        <v>636010.82999999996</v>
      </c>
      <c r="D28" s="21">
        <f>C28/C31</f>
        <v>1.0310878389686107</v>
      </c>
      <c r="E28" s="191">
        <f>G31</f>
        <v>656354.53000000014</v>
      </c>
      <c r="F28" s="21">
        <f>E28/E31</f>
        <v>1.0319864050113741</v>
      </c>
      <c r="G28" s="191">
        <f>670741.35</f>
        <v>670741.35</v>
      </c>
      <c r="H28" s="21">
        <f>G28/G31</f>
        <v>1.0219192819466025</v>
      </c>
    </row>
    <row r="29" spans="1:11">
      <c r="A29" s="9" t="s">
        <v>30</v>
      </c>
      <c r="B29" s="9"/>
      <c r="C29" s="22"/>
      <c r="D29" s="21">
        <f>C29/C31</f>
        <v>0</v>
      </c>
      <c r="E29" s="191"/>
      <c r="F29" s="21">
        <f>E29/E31</f>
        <v>0</v>
      </c>
      <c r="G29" s="191"/>
      <c r="H29" s="21">
        <f>G29/G31</f>
        <v>0</v>
      </c>
    </row>
    <row r="30" spans="1:11">
      <c r="A30" s="14" t="s">
        <v>31</v>
      </c>
      <c r="B30" s="200">
        <f>2791549.6-2499634.57</f>
        <v>291915.03000000026</v>
      </c>
      <c r="C30" s="27">
        <f>616834.77-C28</f>
        <v>-19176.059999999939</v>
      </c>
      <c r="D30" s="25">
        <f>C30/C31</f>
        <v>-3.108783896861057E-2</v>
      </c>
      <c r="E30" s="192">
        <f>636010.83-E28</f>
        <v>-20343.700000000186</v>
      </c>
      <c r="F30" s="25">
        <f>E30/E31</f>
        <v>-3.1986405011374078E-2</v>
      </c>
      <c r="G30" s="192">
        <f>3504000-3518386.82</f>
        <v>-14386.819999999832</v>
      </c>
      <c r="H30" s="25">
        <f>G30/G31</f>
        <v>-2.191928194660259E-2</v>
      </c>
    </row>
    <row r="31" spans="1:11">
      <c r="A31" s="14" t="s">
        <v>32</v>
      </c>
      <c r="B31" s="27">
        <f t="shared" ref="B31:H31" si="2">SUM(B28:B30)</f>
        <v>908749.80000000028</v>
      </c>
      <c r="C31" s="27">
        <f t="shared" si="2"/>
        <v>616834.77</v>
      </c>
      <c r="D31" s="25">
        <f t="shared" si="2"/>
        <v>1</v>
      </c>
      <c r="E31" s="192">
        <f t="shared" si="2"/>
        <v>636010.82999999996</v>
      </c>
      <c r="F31" s="25">
        <f t="shared" si="2"/>
        <v>1</v>
      </c>
      <c r="G31" s="192">
        <f t="shared" si="2"/>
        <v>656354.53000000014</v>
      </c>
      <c r="H31" s="25">
        <f t="shared" si="2"/>
        <v>0.99999999999999989</v>
      </c>
    </row>
    <row r="32" spans="1:11">
      <c r="C32" s="185">
        <f>616834.77-C31</f>
        <v>0</v>
      </c>
      <c r="E32" s="193">
        <f>636010.83-E31</f>
        <v>0</v>
      </c>
      <c r="G32" s="193">
        <f>656354.53-G31</f>
        <v>0</v>
      </c>
    </row>
    <row r="33" spans="1:11" s="39" customFormat="1">
      <c r="A33" s="476" t="s">
        <v>36</v>
      </c>
      <c r="B33" s="476"/>
      <c r="C33" s="477"/>
      <c r="D33" s="477"/>
      <c r="E33" s="477"/>
      <c r="F33" s="477"/>
      <c r="G33" s="477"/>
      <c r="H33" s="477"/>
      <c r="J33" s="186"/>
      <c r="K33" s="186"/>
    </row>
    <row r="34" spans="1:11" s="39" customFormat="1">
      <c r="A34" s="478"/>
      <c r="B34" s="478"/>
      <c r="C34" s="478"/>
      <c r="D34" s="478"/>
      <c r="E34" s="478"/>
      <c r="F34" s="478"/>
      <c r="G34" s="478"/>
      <c r="H34" s="478"/>
      <c r="J34" s="187"/>
      <c r="K34" s="187"/>
    </row>
    <row r="35" spans="1:11" ht="22.5">
      <c r="A35" s="174" t="s">
        <v>28</v>
      </c>
      <c r="B35" s="199">
        <f>B26</f>
        <v>44439</v>
      </c>
      <c r="C35" s="37">
        <f>C26</f>
        <v>2020</v>
      </c>
      <c r="D35" s="37" t="s">
        <v>10</v>
      </c>
      <c r="E35" s="37">
        <f>E26</f>
        <v>2019</v>
      </c>
      <c r="F35" s="37" t="s">
        <v>10</v>
      </c>
      <c r="G35" s="37">
        <f>G26</f>
        <v>2018</v>
      </c>
      <c r="H35" s="37" t="s">
        <v>10</v>
      </c>
    </row>
    <row r="36" spans="1:11">
      <c r="A36" s="9" t="s">
        <v>37</v>
      </c>
      <c r="B36" s="28">
        <f>C39</f>
        <v>16299786.470000001</v>
      </c>
      <c r="C36" s="22">
        <f>E39</f>
        <v>14117345.720000001</v>
      </c>
      <c r="D36" s="21">
        <f>C36/C39</f>
        <v>0.86610617543875101</v>
      </c>
      <c r="E36" s="191">
        <f>G39</f>
        <v>7443096.5899999989</v>
      </c>
      <c r="F36" s="21">
        <f>E36/E39</f>
        <v>0.52723059544085449</v>
      </c>
      <c r="G36" s="191">
        <f>-3048561.29</f>
        <v>-3048561.29</v>
      </c>
      <c r="H36" s="38">
        <f>G36/G39</f>
        <v>-0.40958238995525387</v>
      </c>
    </row>
    <row r="37" spans="1:11">
      <c r="A37" s="9" t="s">
        <v>30</v>
      </c>
      <c r="B37" s="9"/>
      <c r="C37" s="29"/>
      <c r="D37" s="33">
        <f>C37/C39</f>
        <v>0</v>
      </c>
      <c r="E37" s="191"/>
      <c r="F37" s="21">
        <f>E37/E39</f>
        <v>0</v>
      </c>
      <c r="G37" s="191"/>
      <c r="H37" s="21">
        <f>G37/G39</f>
        <v>0</v>
      </c>
      <c r="I37" s="17"/>
    </row>
    <row r="38" spans="1:11" ht="22.5">
      <c r="A38" s="14" t="s">
        <v>38</v>
      </c>
      <c r="B38" s="192">
        <f>17651723.46-122672577.31</f>
        <v>-105020853.84999999</v>
      </c>
      <c r="C38" s="198">
        <f>16299786.47-C36</f>
        <v>2182440.75</v>
      </c>
      <c r="D38" s="26">
        <f>C38/C39</f>
        <v>0.13389382456124899</v>
      </c>
      <c r="E38" s="192">
        <f>14117345.72-E36</f>
        <v>6674249.1300000018</v>
      </c>
      <c r="F38" s="25">
        <f>E38/E39</f>
        <v>0.47276940455914551</v>
      </c>
      <c r="G38" s="192">
        <f>27833347.25-17341689.37</f>
        <v>10491657.879999999</v>
      </c>
      <c r="H38" s="25">
        <f>G38/G39</f>
        <v>1.409582389955254</v>
      </c>
    </row>
    <row r="39" spans="1:11">
      <c r="A39" s="14" t="s">
        <v>32</v>
      </c>
      <c r="B39" s="26">
        <f t="shared" ref="B39:H39" si="3">SUM(B36:B38)</f>
        <v>-88721067.379999995</v>
      </c>
      <c r="C39" s="26">
        <f t="shared" si="3"/>
        <v>16299786.470000001</v>
      </c>
      <c r="D39" s="26">
        <f t="shared" si="3"/>
        <v>1</v>
      </c>
      <c r="E39" s="192">
        <f t="shared" ref="E39" si="4">SUM(E36:E38)</f>
        <v>14117345.720000001</v>
      </c>
      <c r="F39" s="25">
        <f t="shared" si="3"/>
        <v>1</v>
      </c>
      <c r="G39" s="192">
        <f t="shared" si="3"/>
        <v>7443096.5899999989</v>
      </c>
      <c r="H39" s="25">
        <f t="shared" si="3"/>
        <v>1</v>
      </c>
    </row>
    <row r="40" spans="1:11" s="39" customFormat="1">
      <c r="A40" s="188"/>
      <c r="B40" s="188"/>
      <c r="C40" s="189">
        <f>16299786.47-C39</f>
        <v>0</v>
      </c>
      <c r="D40" s="188"/>
      <c r="E40" s="193">
        <f>14117345.72-E39</f>
        <v>0</v>
      </c>
      <c r="F40" s="188"/>
      <c r="G40" s="189">
        <f>7443096.59-G39</f>
        <v>0</v>
      </c>
      <c r="H40" s="188"/>
      <c r="I40" s="17"/>
    </row>
    <row r="41" spans="1:11" s="39" customFormat="1">
      <c r="B41" s="188"/>
      <c r="C41" s="189"/>
      <c r="F41" s="202" t="s">
        <v>140</v>
      </c>
      <c r="G41" s="201">
        <v>106187808.91</v>
      </c>
      <c r="H41" s="188"/>
      <c r="I41" s="17"/>
    </row>
    <row r="42" spans="1:11" s="39" customFormat="1">
      <c r="A42" s="479" t="s">
        <v>39</v>
      </c>
      <c r="B42" s="479"/>
      <c r="C42" s="479"/>
      <c r="D42" s="479"/>
      <c r="E42" s="479"/>
      <c r="F42" s="479"/>
      <c r="G42" s="479"/>
      <c r="H42" s="479"/>
    </row>
    <row r="43" spans="1:11">
      <c r="A43" s="480" t="s">
        <v>28</v>
      </c>
      <c r="B43" s="484">
        <f>B35</f>
        <v>44439</v>
      </c>
      <c r="C43" s="482">
        <f>C35</f>
        <v>2020</v>
      </c>
      <c r="D43" s="482" t="s">
        <v>10</v>
      </c>
      <c r="E43" s="482">
        <f>E35</f>
        <v>2019</v>
      </c>
      <c r="F43" s="482" t="s">
        <v>10</v>
      </c>
      <c r="G43" s="482">
        <f>G35</f>
        <v>2018</v>
      </c>
      <c r="H43" s="482" t="s">
        <v>10</v>
      </c>
    </row>
    <row r="44" spans="1:11">
      <c r="A44" s="481"/>
      <c r="B44" s="483"/>
      <c r="C44" s="483"/>
      <c r="D44" s="483"/>
      <c r="E44" s="483"/>
      <c r="F44" s="483"/>
      <c r="G44" s="483"/>
      <c r="H44" s="483"/>
    </row>
    <row r="45" spans="1:11">
      <c r="A45" s="9" t="s">
        <v>29</v>
      </c>
      <c r="B45" s="22">
        <f>C48</f>
        <v>26636235.309999999</v>
      </c>
      <c r="C45" s="22">
        <f>E48</f>
        <v>25804594.07</v>
      </c>
      <c r="D45" s="21">
        <f>C45/C48</f>
        <v>0.96877782350541941</v>
      </c>
      <c r="E45" s="191">
        <f>G48</f>
        <v>26479729.469999999</v>
      </c>
      <c r="F45" s="21">
        <f>E45/E48</f>
        <v>1.0261633799845316</v>
      </c>
      <c r="G45" s="33">
        <f>27185936.99</f>
        <v>27185936.989999998</v>
      </c>
      <c r="H45" s="21">
        <f>G45/G48</f>
        <v>1.0266697407464109</v>
      </c>
    </row>
    <row r="46" spans="1:11">
      <c r="A46" s="9" t="s">
        <v>30</v>
      </c>
      <c r="B46" s="9"/>
      <c r="C46" s="22"/>
      <c r="D46" s="21">
        <f>C46/C48</f>
        <v>0</v>
      </c>
      <c r="E46" s="191"/>
      <c r="F46" s="21">
        <f>E46/E48</f>
        <v>0</v>
      </c>
      <c r="G46" s="9"/>
      <c r="H46" s="21">
        <f>G46/G48</f>
        <v>0</v>
      </c>
    </row>
    <row r="47" spans="1:11">
      <c r="A47" s="14" t="s">
        <v>31</v>
      </c>
      <c r="B47" s="192">
        <f>3377704.86-3949174.07</f>
        <v>-571469.21</v>
      </c>
      <c r="C47" s="27">
        <f>26636235.31-C45</f>
        <v>831641.23999999836</v>
      </c>
      <c r="D47" s="25">
        <f>C47/C48</f>
        <v>3.1222176494580547E-2</v>
      </c>
      <c r="E47" s="192">
        <f>25804594.07-E45</f>
        <v>-675135.39999999851</v>
      </c>
      <c r="F47" s="25">
        <f>E47/E48</f>
        <v>-2.6163379984531509E-2</v>
      </c>
      <c r="G47" s="35">
        <f>4309102.58-5015310.1</f>
        <v>-706207.51999999955</v>
      </c>
      <c r="H47" s="25">
        <f>G47/G48</f>
        <v>-2.6669740746411017E-2</v>
      </c>
    </row>
    <row r="48" spans="1:11">
      <c r="A48" s="14" t="s">
        <v>32</v>
      </c>
      <c r="B48" s="26">
        <f t="shared" ref="B48" si="5">SUM(B45:B47)</f>
        <v>26064766.099999998</v>
      </c>
      <c r="C48" s="27">
        <f t="shared" ref="C48:H48" si="6">SUM(C45:C47)</f>
        <v>26636235.309999999</v>
      </c>
      <c r="D48" s="25">
        <f t="shared" si="6"/>
        <v>1</v>
      </c>
      <c r="E48" s="192">
        <f t="shared" si="6"/>
        <v>25804594.07</v>
      </c>
      <c r="F48" s="25">
        <f t="shared" si="6"/>
        <v>1</v>
      </c>
      <c r="G48" s="26">
        <f t="shared" si="6"/>
        <v>26479729.469999999</v>
      </c>
      <c r="H48" s="25">
        <f t="shared" si="6"/>
        <v>0.99999999999999989</v>
      </c>
    </row>
    <row r="49" spans="1:12">
      <c r="A49" s="40"/>
      <c r="B49" s="40"/>
      <c r="C49" s="190">
        <f>26636235.31-C48</f>
        <v>0</v>
      </c>
      <c r="E49" s="193">
        <f>25804594.07-E48</f>
        <v>0</v>
      </c>
      <c r="G49" s="195">
        <f>26479729.47-G48</f>
        <v>0</v>
      </c>
    </row>
    <row r="50" spans="1:12">
      <c r="C50" s="190"/>
    </row>
    <row r="51" spans="1:12">
      <c r="C51" s="17"/>
    </row>
    <row r="53" spans="1:12">
      <c r="A53" s="175" t="s">
        <v>25</v>
      </c>
      <c r="B53" s="176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1:12">
      <c r="A54" s="175" t="s">
        <v>24</v>
      </c>
      <c r="B54" s="176"/>
      <c r="D54" s="175"/>
      <c r="E54" s="175"/>
      <c r="F54" s="175"/>
      <c r="G54" s="175"/>
      <c r="H54" s="175"/>
      <c r="I54" s="175"/>
      <c r="J54" s="175"/>
      <c r="K54" s="175"/>
      <c r="L54" s="175"/>
    </row>
    <row r="55" spans="1:12">
      <c r="A55" s="175"/>
      <c r="B55" s="176"/>
      <c r="C55" s="175"/>
      <c r="D55" s="175"/>
      <c r="E55" s="175"/>
      <c r="F55" s="175"/>
      <c r="G55" s="175"/>
      <c r="H55" s="175"/>
      <c r="I55" s="175"/>
      <c r="J55" s="175"/>
      <c r="K55" s="175"/>
      <c r="L55" s="175"/>
    </row>
  </sheetData>
  <mergeCells count="44">
    <mergeCell ref="A6:H6"/>
    <mergeCell ref="A2:H2"/>
    <mergeCell ref="A3:H3"/>
    <mergeCell ref="A4:H4"/>
    <mergeCell ref="A5:H5"/>
    <mergeCell ref="A7:F7"/>
    <mergeCell ref="A8:H8"/>
    <mergeCell ref="A9:A10"/>
    <mergeCell ref="C9:C10"/>
    <mergeCell ref="D9:D10"/>
    <mergeCell ref="E9:E10"/>
    <mergeCell ref="F9:F10"/>
    <mergeCell ref="G9:G10"/>
    <mergeCell ref="H9:H10"/>
    <mergeCell ref="B9:B10"/>
    <mergeCell ref="A15:H15"/>
    <mergeCell ref="A17:H17"/>
    <mergeCell ref="A18:A19"/>
    <mergeCell ref="C18:C19"/>
    <mergeCell ref="D18:D19"/>
    <mergeCell ref="E18:E19"/>
    <mergeCell ref="F18:F19"/>
    <mergeCell ref="G18:G19"/>
    <mergeCell ref="H18:H19"/>
    <mergeCell ref="B18:B19"/>
    <mergeCell ref="A25:H25"/>
    <mergeCell ref="A26:A27"/>
    <mergeCell ref="C26:C27"/>
    <mergeCell ref="D26:D27"/>
    <mergeCell ref="E26:E27"/>
    <mergeCell ref="F26:F27"/>
    <mergeCell ref="G26:G27"/>
    <mergeCell ref="H26:H27"/>
    <mergeCell ref="B26:B27"/>
    <mergeCell ref="A33:H34"/>
    <mergeCell ref="A42:H42"/>
    <mergeCell ref="A43:A44"/>
    <mergeCell ref="C43:C44"/>
    <mergeCell ref="D43:D44"/>
    <mergeCell ref="E43:E44"/>
    <mergeCell ref="F43:F44"/>
    <mergeCell ref="G43:G44"/>
    <mergeCell ref="H43:H44"/>
    <mergeCell ref="B43:B4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A2" sqref="A2:D2"/>
    </sheetView>
  </sheetViews>
  <sheetFormatPr defaultRowHeight="15"/>
  <cols>
    <col min="1" max="1" width="46.5703125" customWidth="1"/>
    <col min="2" max="2" width="17.7109375" bestFit="1" customWidth="1"/>
    <col min="3" max="3" width="17.28515625" bestFit="1" customWidth="1"/>
    <col min="4" max="4" width="14.28515625" bestFit="1" customWidth="1"/>
    <col min="5" max="5" width="11.140625" bestFit="1" customWidth="1"/>
    <col min="257" max="257" width="46.5703125" customWidth="1"/>
    <col min="258" max="258" width="17.7109375" bestFit="1" customWidth="1"/>
    <col min="259" max="259" width="17.28515625" bestFit="1" customWidth="1"/>
    <col min="260" max="260" width="14.28515625" bestFit="1" customWidth="1"/>
    <col min="261" max="261" width="11.140625" bestFit="1" customWidth="1"/>
    <col min="513" max="513" width="46.5703125" customWidth="1"/>
    <col min="514" max="514" width="17.7109375" bestFit="1" customWidth="1"/>
    <col min="515" max="515" width="17.28515625" bestFit="1" customWidth="1"/>
    <col min="516" max="516" width="14.28515625" bestFit="1" customWidth="1"/>
    <col min="517" max="517" width="11.140625" bestFit="1" customWidth="1"/>
    <col min="769" max="769" width="46.5703125" customWidth="1"/>
    <col min="770" max="770" width="17.7109375" bestFit="1" customWidth="1"/>
    <col min="771" max="771" width="17.28515625" bestFit="1" customWidth="1"/>
    <col min="772" max="772" width="14.28515625" bestFit="1" customWidth="1"/>
    <col min="773" max="773" width="11.140625" bestFit="1" customWidth="1"/>
    <col min="1025" max="1025" width="46.5703125" customWidth="1"/>
    <col min="1026" max="1026" width="17.7109375" bestFit="1" customWidth="1"/>
    <col min="1027" max="1027" width="17.28515625" bestFit="1" customWidth="1"/>
    <col min="1028" max="1028" width="14.28515625" bestFit="1" customWidth="1"/>
    <col min="1029" max="1029" width="11.140625" bestFit="1" customWidth="1"/>
    <col min="1281" max="1281" width="46.5703125" customWidth="1"/>
    <col min="1282" max="1282" width="17.7109375" bestFit="1" customWidth="1"/>
    <col min="1283" max="1283" width="17.28515625" bestFit="1" customWidth="1"/>
    <col min="1284" max="1284" width="14.28515625" bestFit="1" customWidth="1"/>
    <col min="1285" max="1285" width="11.140625" bestFit="1" customWidth="1"/>
    <col min="1537" max="1537" width="46.5703125" customWidth="1"/>
    <col min="1538" max="1538" width="17.7109375" bestFit="1" customWidth="1"/>
    <col min="1539" max="1539" width="17.28515625" bestFit="1" customWidth="1"/>
    <col min="1540" max="1540" width="14.28515625" bestFit="1" customWidth="1"/>
    <col min="1541" max="1541" width="11.140625" bestFit="1" customWidth="1"/>
    <col min="1793" max="1793" width="46.5703125" customWidth="1"/>
    <col min="1794" max="1794" width="17.7109375" bestFit="1" customWidth="1"/>
    <col min="1795" max="1795" width="17.28515625" bestFit="1" customWidth="1"/>
    <col min="1796" max="1796" width="14.28515625" bestFit="1" customWidth="1"/>
    <col min="1797" max="1797" width="11.140625" bestFit="1" customWidth="1"/>
    <col min="2049" max="2049" width="46.5703125" customWidth="1"/>
    <col min="2050" max="2050" width="17.7109375" bestFit="1" customWidth="1"/>
    <col min="2051" max="2051" width="17.28515625" bestFit="1" customWidth="1"/>
    <col min="2052" max="2052" width="14.28515625" bestFit="1" customWidth="1"/>
    <col min="2053" max="2053" width="11.140625" bestFit="1" customWidth="1"/>
    <col min="2305" max="2305" width="46.5703125" customWidth="1"/>
    <col min="2306" max="2306" width="17.7109375" bestFit="1" customWidth="1"/>
    <col min="2307" max="2307" width="17.28515625" bestFit="1" customWidth="1"/>
    <col min="2308" max="2308" width="14.28515625" bestFit="1" customWidth="1"/>
    <col min="2309" max="2309" width="11.140625" bestFit="1" customWidth="1"/>
    <col min="2561" max="2561" width="46.5703125" customWidth="1"/>
    <col min="2562" max="2562" width="17.7109375" bestFit="1" customWidth="1"/>
    <col min="2563" max="2563" width="17.28515625" bestFit="1" customWidth="1"/>
    <col min="2564" max="2564" width="14.28515625" bestFit="1" customWidth="1"/>
    <col min="2565" max="2565" width="11.140625" bestFit="1" customWidth="1"/>
    <col min="2817" max="2817" width="46.5703125" customWidth="1"/>
    <col min="2818" max="2818" width="17.7109375" bestFit="1" customWidth="1"/>
    <col min="2819" max="2819" width="17.28515625" bestFit="1" customWidth="1"/>
    <col min="2820" max="2820" width="14.28515625" bestFit="1" customWidth="1"/>
    <col min="2821" max="2821" width="11.140625" bestFit="1" customWidth="1"/>
    <col min="3073" max="3073" width="46.5703125" customWidth="1"/>
    <col min="3074" max="3074" width="17.7109375" bestFit="1" customWidth="1"/>
    <col min="3075" max="3075" width="17.28515625" bestFit="1" customWidth="1"/>
    <col min="3076" max="3076" width="14.28515625" bestFit="1" customWidth="1"/>
    <col min="3077" max="3077" width="11.140625" bestFit="1" customWidth="1"/>
    <col min="3329" max="3329" width="46.5703125" customWidth="1"/>
    <col min="3330" max="3330" width="17.7109375" bestFit="1" customWidth="1"/>
    <col min="3331" max="3331" width="17.28515625" bestFit="1" customWidth="1"/>
    <col min="3332" max="3332" width="14.28515625" bestFit="1" customWidth="1"/>
    <col min="3333" max="3333" width="11.140625" bestFit="1" customWidth="1"/>
    <col min="3585" max="3585" width="46.5703125" customWidth="1"/>
    <col min="3586" max="3586" width="17.7109375" bestFit="1" customWidth="1"/>
    <col min="3587" max="3587" width="17.28515625" bestFit="1" customWidth="1"/>
    <col min="3588" max="3588" width="14.28515625" bestFit="1" customWidth="1"/>
    <col min="3589" max="3589" width="11.140625" bestFit="1" customWidth="1"/>
    <col min="3841" max="3841" width="46.5703125" customWidth="1"/>
    <col min="3842" max="3842" width="17.7109375" bestFit="1" customWidth="1"/>
    <col min="3843" max="3843" width="17.28515625" bestFit="1" customWidth="1"/>
    <col min="3844" max="3844" width="14.28515625" bestFit="1" customWidth="1"/>
    <col min="3845" max="3845" width="11.140625" bestFit="1" customWidth="1"/>
    <col min="4097" max="4097" width="46.5703125" customWidth="1"/>
    <col min="4098" max="4098" width="17.7109375" bestFit="1" customWidth="1"/>
    <col min="4099" max="4099" width="17.28515625" bestFit="1" customWidth="1"/>
    <col min="4100" max="4100" width="14.28515625" bestFit="1" customWidth="1"/>
    <col min="4101" max="4101" width="11.140625" bestFit="1" customWidth="1"/>
    <col min="4353" max="4353" width="46.5703125" customWidth="1"/>
    <col min="4354" max="4354" width="17.7109375" bestFit="1" customWidth="1"/>
    <col min="4355" max="4355" width="17.28515625" bestFit="1" customWidth="1"/>
    <col min="4356" max="4356" width="14.28515625" bestFit="1" customWidth="1"/>
    <col min="4357" max="4357" width="11.140625" bestFit="1" customWidth="1"/>
    <col min="4609" max="4609" width="46.5703125" customWidth="1"/>
    <col min="4610" max="4610" width="17.7109375" bestFit="1" customWidth="1"/>
    <col min="4611" max="4611" width="17.28515625" bestFit="1" customWidth="1"/>
    <col min="4612" max="4612" width="14.28515625" bestFit="1" customWidth="1"/>
    <col min="4613" max="4613" width="11.140625" bestFit="1" customWidth="1"/>
    <col min="4865" max="4865" width="46.5703125" customWidth="1"/>
    <col min="4866" max="4866" width="17.7109375" bestFit="1" customWidth="1"/>
    <col min="4867" max="4867" width="17.28515625" bestFit="1" customWidth="1"/>
    <col min="4868" max="4868" width="14.28515625" bestFit="1" customWidth="1"/>
    <col min="4869" max="4869" width="11.140625" bestFit="1" customWidth="1"/>
    <col min="5121" max="5121" width="46.5703125" customWidth="1"/>
    <col min="5122" max="5122" width="17.7109375" bestFit="1" customWidth="1"/>
    <col min="5123" max="5123" width="17.28515625" bestFit="1" customWidth="1"/>
    <col min="5124" max="5124" width="14.28515625" bestFit="1" customWidth="1"/>
    <col min="5125" max="5125" width="11.140625" bestFit="1" customWidth="1"/>
    <col min="5377" max="5377" width="46.5703125" customWidth="1"/>
    <col min="5378" max="5378" width="17.7109375" bestFit="1" customWidth="1"/>
    <col min="5379" max="5379" width="17.28515625" bestFit="1" customWidth="1"/>
    <col min="5380" max="5380" width="14.28515625" bestFit="1" customWidth="1"/>
    <col min="5381" max="5381" width="11.140625" bestFit="1" customWidth="1"/>
    <col min="5633" max="5633" width="46.5703125" customWidth="1"/>
    <col min="5634" max="5634" width="17.7109375" bestFit="1" customWidth="1"/>
    <col min="5635" max="5635" width="17.28515625" bestFit="1" customWidth="1"/>
    <col min="5636" max="5636" width="14.28515625" bestFit="1" customWidth="1"/>
    <col min="5637" max="5637" width="11.140625" bestFit="1" customWidth="1"/>
    <col min="5889" max="5889" width="46.5703125" customWidth="1"/>
    <col min="5890" max="5890" width="17.7109375" bestFit="1" customWidth="1"/>
    <col min="5891" max="5891" width="17.28515625" bestFit="1" customWidth="1"/>
    <col min="5892" max="5892" width="14.28515625" bestFit="1" customWidth="1"/>
    <col min="5893" max="5893" width="11.140625" bestFit="1" customWidth="1"/>
    <col min="6145" max="6145" width="46.5703125" customWidth="1"/>
    <col min="6146" max="6146" width="17.7109375" bestFit="1" customWidth="1"/>
    <col min="6147" max="6147" width="17.28515625" bestFit="1" customWidth="1"/>
    <col min="6148" max="6148" width="14.28515625" bestFit="1" customWidth="1"/>
    <col min="6149" max="6149" width="11.140625" bestFit="1" customWidth="1"/>
    <col min="6401" max="6401" width="46.5703125" customWidth="1"/>
    <col min="6402" max="6402" width="17.7109375" bestFit="1" customWidth="1"/>
    <col min="6403" max="6403" width="17.28515625" bestFit="1" customWidth="1"/>
    <col min="6404" max="6404" width="14.28515625" bestFit="1" customWidth="1"/>
    <col min="6405" max="6405" width="11.140625" bestFit="1" customWidth="1"/>
    <col min="6657" max="6657" width="46.5703125" customWidth="1"/>
    <col min="6658" max="6658" width="17.7109375" bestFit="1" customWidth="1"/>
    <col min="6659" max="6659" width="17.28515625" bestFit="1" customWidth="1"/>
    <col min="6660" max="6660" width="14.28515625" bestFit="1" customWidth="1"/>
    <col min="6661" max="6661" width="11.140625" bestFit="1" customWidth="1"/>
    <col min="6913" max="6913" width="46.5703125" customWidth="1"/>
    <col min="6914" max="6914" width="17.7109375" bestFit="1" customWidth="1"/>
    <col min="6915" max="6915" width="17.28515625" bestFit="1" customWidth="1"/>
    <col min="6916" max="6916" width="14.28515625" bestFit="1" customWidth="1"/>
    <col min="6917" max="6917" width="11.140625" bestFit="1" customWidth="1"/>
    <col min="7169" max="7169" width="46.5703125" customWidth="1"/>
    <col min="7170" max="7170" width="17.7109375" bestFit="1" customWidth="1"/>
    <col min="7171" max="7171" width="17.28515625" bestFit="1" customWidth="1"/>
    <col min="7172" max="7172" width="14.28515625" bestFit="1" customWidth="1"/>
    <col min="7173" max="7173" width="11.140625" bestFit="1" customWidth="1"/>
    <col min="7425" max="7425" width="46.5703125" customWidth="1"/>
    <col min="7426" max="7426" width="17.7109375" bestFit="1" customWidth="1"/>
    <col min="7427" max="7427" width="17.28515625" bestFit="1" customWidth="1"/>
    <col min="7428" max="7428" width="14.28515625" bestFit="1" customWidth="1"/>
    <col min="7429" max="7429" width="11.140625" bestFit="1" customWidth="1"/>
    <col min="7681" max="7681" width="46.5703125" customWidth="1"/>
    <col min="7682" max="7682" width="17.7109375" bestFit="1" customWidth="1"/>
    <col min="7683" max="7683" width="17.28515625" bestFit="1" customWidth="1"/>
    <col min="7684" max="7684" width="14.28515625" bestFit="1" customWidth="1"/>
    <col min="7685" max="7685" width="11.140625" bestFit="1" customWidth="1"/>
    <col min="7937" max="7937" width="46.5703125" customWidth="1"/>
    <col min="7938" max="7938" width="17.7109375" bestFit="1" customWidth="1"/>
    <col min="7939" max="7939" width="17.28515625" bestFit="1" customWidth="1"/>
    <col min="7940" max="7940" width="14.28515625" bestFit="1" customWidth="1"/>
    <col min="7941" max="7941" width="11.140625" bestFit="1" customWidth="1"/>
    <col min="8193" max="8193" width="46.5703125" customWidth="1"/>
    <col min="8194" max="8194" width="17.7109375" bestFit="1" customWidth="1"/>
    <col min="8195" max="8195" width="17.28515625" bestFit="1" customWidth="1"/>
    <col min="8196" max="8196" width="14.28515625" bestFit="1" customWidth="1"/>
    <col min="8197" max="8197" width="11.140625" bestFit="1" customWidth="1"/>
    <col min="8449" max="8449" width="46.5703125" customWidth="1"/>
    <col min="8450" max="8450" width="17.7109375" bestFit="1" customWidth="1"/>
    <col min="8451" max="8451" width="17.28515625" bestFit="1" customWidth="1"/>
    <col min="8452" max="8452" width="14.28515625" bestFit="1" customWidth="1"/>
    <col min="8453" max="8453" width="11.140625" bestFit="1" customWidth="1"/>
    <col min="8705" max="8705" width="46.5703125" customWidth="1"/>
    <col min="8706" max="8706" width="17.7109375" bestFit="1" customWidth="1"/>
    <col min="8707" max="8707" width="17.28515625" bestFit="1" customWidth="1"/>
    <col min="8708" max="8708" width="14.28515625" bestFit="1" customWidth="1"/>
    <col min="8709" max="8709" width="11.140625" bestFit="1" customWidth="1"/>
    <col min="8961" max="8961" width="46.5703125" customWidth="1"/>
    <col min="8962" max="8962" width="17.7109375" bestFit="1" customWidth="1"/>
    <col min="8963" max="8963" width="17.28515625" bestFit="1" customWidth="1"/>
    <col min="8964" max="8964" width="14.28515625" bestFit="1" customWidth="1"/>
    <col min="8965" max="8965" width="11.140625" bestFit="1" customWidth="1"/>
    <col min="9217" max="9217" width="46.5703125" customWidth="1"/>
    <col min="9218" max="9218" width="17.7109375" bestFit="1" customWidth="1"/>
    <col min="9219" max="9219" width="17.28515625" bestFit="1" customWidth="1"/>
    <col min="9220" max="9220" width="14.28515625" bestFit="1" customWidth="1"/>
    <col min="9221" max="9221" width="11.140625" bestFit="1" customWidth="1"/>
    <col min="9473" max="9473" width="46.5703125" customWidth="1"/>
    <col min="9474" max="9474" width="17.7109375" bestFit="1" customWidth="1"/>
    <col min="9475" max="9475" width="17.28515625" bestFit="1" customWidth="1"/>
    <col min="9476" max="9476" width="14.28515625" bestFit="1" customWidth="1"/>
    <col min="9477" max="9477" width="11.140625" bestFit="1" customWidth="1"/>
    <col min="9729" max="9729" width="46.5703125" customWidth="1"/>
    <col min="9730" max="9730" width="17.7109375" bestFit="1" customWidth="1"/>
    <col min="9731" max="9731" width="17.28515625" bestFit="1" customWidth="1"/>
    <col min="9732" max="9732" width="14.28515625" bestFit="1" customWidth="1"/>
    <col min="9733" max="9733" width="11.140625" bestFit="1" customWidth="1"/>
    <col min="9985" max="9985" width="46.5703125" customWidth="1"/>
    <col min="9986" max="9986" width="17.7109375" bestFit="1" customWidth="1"/>
    <col min="9987" max="9987" width="17.28515625" bestFit="1" customWidth="1"/>
    <col min="9988" max="9988" width="14.28515625" bestFit="1" customWidth="1"/>
    <col min="9989" max="9989" width="11.140625" bestFit="1" customWidth="1"/>
    <col min="10241" max="10241" width="46.5703125" customWidth="1"/>
    <col min="10242" max="10242" width="17.7109375" bestFit="1" customWidth="1"/>
    <col min="10243" max="10243" width="17.28515625" bestFit="1" customWidth="1"/>
    <col min="10244" max="10244" width="14.28515625" bestFit="1" customWidth="1"/>
    <col min="10245" max="10245" width="11.140625" bestFit="1" customWidth="1"/>
    <col min="10497" max="10497" width="46.5703125" customWidth="1"/>
    <col min="10498" max="10498" width="17.7109375" bestFit="1" customWidth="1"/>
    <col min="10499" max="10499" width="17.28515625" bestFit="1" customWidth="1"/>
    <col min="10500" max="10500" width="14.28515625" bestFit="1" customWidth="1"/>
    <col min="10501" max="10501" width="11.140625" bestFit="1" customWidth="1"/>
    <col min="10753" max="10753" width="46.5703125" customWidth="1"/>
    <col min="10754" max="10754" width="17.7109375" bestFit="1" customWidth="1"/>
    <col min="10755" max="10755" width="17.28515625" bestFit="1" customWidth="1"/>
    <col min="10756" max="10756" width="14.28515625" bestFit="1" customWidth="1"/>
    <col min="10757" max="10757" width="11.140625" bestFit="1" customWidth="1"/>
    <col min="11009" max="11009" width="46.5703125" customWidth="1"/>
    <col min="11010" max="11010" width="17.7109375" bestFit="1" customWidth="1"/>
    <col min="11011" max="11011" width="17.28515625" bestFit="1" customWidth="1"/>
    <col min="11012" max="11012" width="14.28515625" bestFit="1" customWidth="1"/>
    <col min="11013" max="11013" width="11.140625" bestFit="1" customWidth="1"/>
    <col min="11265" max="11265" width="46.5703125" customWidth="1"/>
    <col min="11266" max="11266" width="17.7109375" bestFit="1" customWidth="1"/>
    <col min="11267" max="11267" width="17.28515625" bestFit="1" customWidth="1"/>
    <col min="11268" max="11268" width="14.28515625" bestFit="1" customWidth="1"/>
    <col min="11269" max="11269" width="11.140625" bestFit="1" customWidth="1"/>
    <col min="11521" max="11521" width="46.5703125" customWidth="1"/>
    <col min="11522" max="11522" width="17.7109375" bestFit="1" customWidth="1"/>
    <col min="11523" max="11523" width="17.28515625" bestFit="1" customWidth="1"/>
    <col min="11524" max="11524" width="14.28515625" bestFit="1" customWidth="1"/>
    <col min="11525" max="11525" width="11.140625" bestFit="1" customWidth="1"/>
    <col min="11777" max="11777" width="46.5703125" customWidth="1"/>
    <col min="11778" max="11778" width="17.7109375" bestFit="1" customWidth="1"/>
    <col min="11779" max="11779" width="17.28515625" bestFit="1" customWidth="1"/>
    <col min="11780" max="11780" width="14.28515625" bestFit="1" customWidth="1"/>
    <col min="11781" max="11781" width="11.140625" bestFit="1" customWidth="1"/>
    <col min="12033" max="12033" width="46.5703125" customWidth="1"/>
    <col min="12034" max="12034" width="17.7109375" bestFit="1" customWidth="1"/>
    <col min="12035" max="12035" width="17.28515625" bestFit="1" customWidth="1"/>
    <col min="12036" max="12036" width="14.28515625" bestFit="1" customWidth="1"/>
    <col min="12037" max="12037" width="11.140625" bestFit="1" customWidth="1"/>
    <col min="12289" max="12289" width="46.5703125" customWidth="1"/>
    <col min="12290" max="12290" width="17.7109375" bestFit="1" customWidth="1"/>
    <col min="12291" max="12291" width="17.28515625" bestFit="1" customWidth="1"/>
    <col min="12292" max="12292" width="14.28515625" bestFit="1" customWidth="1"/>
    <col min="12293" max="12293" width="11.140625" bestFit="1" customWidth="1"/>
    <col min="12545" max="12545" width="46.5703125" customWidth="1"/>
    <col min="12546" max="12546" width="17.7109375" bestFit="1" customWidth="1"/>
    <col min="12547" max="12547" width="17.28515625" bestFit="1" customWidth="1"/>
    <col min="12548" max="12548" width="14.28515625" bestFit="1" customWidth="1"/>
    <col min="12549" max="12549" width="11.140625" bestFit="1" customWidth="1"/>
    <col min="12801" max="12801" width="46.5703125" customWidth="1"/>
    <col min="12802" max="12802" width="17.7109375" bestFit="1" customWidth="1"/>
    <col min="12803" max="12803" width="17.28515625" bestFit="1" customWidth="1"/>
    <col min="12804" max="12804" width="14.28515625" bestFit="1" customWidth="1"/>
    <col min="12805" max="12805" width="11.140625" bestFit="1" customWidth="1"/>
    <col min="13057" max="13057" width="46.5703125" customWidth="1"/>
    <col min="13058" max="13058" width="17.7109375" bestFit="1" customWidth="1"/>
    <col min="13059" max="13059" width="17.28515625" bestFit="1" customWidth="1"/>
    <col min="13060" max="13060" width="14.28515625" bestFit="1" customWidth="1"/>
    <col min="13061" max="13061" width="11.140625" bestFit="1" customWidth="1"/>
    <col min="13313" max="13313" width="46.5703125" customWidth="1"/>
    <col min="13314" max="13314" width="17.7109375" bestFit="1" customWidth="1"/>
    <col min="13315" max="13315" width="17.28515625" bestFit="1" customWidth="1"/>
    <col min="13316" max="13316" width="14.28515625" bestFit="1" customWidth="1"/>
    <col min="13317" max="13317" width="11.140625" bestFit="1" customWidth="1"/>
    <col min="13569" max="13569" width="46.5703125" customWidth="1"/>
    <col min="13570" max="13570" width="17.7109375" bestFit="1" customWidth="1"/>
    <col min="13571" max="13571" width="17.28515625" bestFit="1" customWidth="1"/>
    <col min="13572" max="13572" width="14.28515625" bestFit="1" customWidth="1"/>
    <col min="13573" max="13573" width="11.140625" bestFit="1" customWidth="1"/>
    <col min="13825" max="13825" width="46.5703125" customWidth="1"/>
    <col min="13826" max="13826" width="17.7109375" bestFit="1" customWidth="1"/>
    <col min="13827" max="13827" width="17.28515625" bestFit="1" customWidth="1"/>
    <col min="13828" max="13828" width="14.28515625" bestFit="1" customWidth="1"/>
    <col min="13829" max="13829" width="11.140625" bestFit="1" customWidth="1"/>
    <col min="14081" max="14081" width="46.5703125" customWidth="1"/>
    <col min="14082" max="14082" width="17.7109375" bestFit="1" customWidth="1"/>
    <col min="14083" max="14083" width="17.28515625" bestFit="1" customWidth="1"/>
    <col min="14084" max="14084" width="14.28515625" bestFit="1" customWidth="1"/>
    <col min="14085" max="14085" width="11.140625" bestFit="1" customWidth="1"/>
    <col min="14337" max="14337" width="46.5703125" customWidth="1"/>
    <col min="14338" max="14338" width="17.7109375" bestFit="1" customWidth="1"/>
    <col min="14339" max="14339" width="17.28515625" bestFit="1" customWidth="1"/>
    <col min="14340" max="14340" width="14.28515625" bestFit="1" customWidth="1"/>
    <col min="14341" max="14341" width="11.140625" bestFit="1" customWidth="1"/>
    <col min="14593" max="14593" width="46.5703125" customWidth="1"/>
    <col min="14594" max="14594" width="17.7109375" bestFit="1" customWidth="1"/>
    <col min="14595" max="14595" width="17.28515625" bestFit="1" customWidth="1"/>
    <col min="14596" max="14596" width="14.28515625" bestFit="1" customWidth="1"/>
    <col min="14597" max="14597" width="11.140625" bestFit="1" customWidth="1"/>
    <col min="14849" max="14849" width="46.5703125" customWidth="1"/>
    <col min="14850" max="14850" width="17.7109375" bestFit="1" customWidth="1"/>
    <col min="14851" max="14851" width="17.28515625" bestFit="1" customWidth="1"/>
    <col min="14852" max="14852" width="14.28515625" bestFit="1" customWidth="1"/>
    <col min="14853" max="14853" width="11.140625" bestFit="1" customWidth="1"/>
    <col min="15105" max="15105" width="46.5703125" customWidth="1"/>
    <col min="15106" max="15106" width="17.7109375" bestFit="1" customWidth="1"/>
    <col min="15107" max="15107" width="17.28515625" bestFit="1" customWidth="1"/>
    <col min="15108" max="15108" width="14.28515625" bestFit="1" customWidth="1"/>
    <col min="15109" max="15109" width="11.140625" bestFit="1" customWidth="1"/>
    <col min="15361" max="15361" width="46.5703125" customWidth="1"/>
    <col min="15362" max="15362" width="17.7109375" bestFit="1" customWidth="1"/>
    <col min="15363" max="15363" width="17.28515625" bestFit="1" customWidth="1"/>
    <col min="15364" max="15364" width="14.28515625" bestFit="1" customWidth="1"/>
    <col min="15365" max="15365" width="11.140625" bestFit="1" customWidth="1"/>
    <col min="15617" max="15617" width="46.5703125" customWidth="1"/>
    <col min="15618" max="15618" width="17.7109375" bestFit="1" customWidth="1"/>
    <col min="15619" max="15619" width="17.28515625" bestFit="1" customWidth="1"/>
    <col min="15620" max="15620" width="14.28515625" bestFit="1" customWidth="1"/>
    <col min="15621" max="15621" width="11.140625" bestFit="1" customWidth="1"/>
    <col min="15873" max="15873" width="46.5703125" customWidth="1"/>
    <col min="15874" max="15874" width="17.7109375" bestFit="1" customWidth="1"/>
    <col min="15875" max="15875" width="17.28515625" bestFit="1" customWidth="1"/>
    <col min="15876" max="15876" width="14.28515625" bestFit="1" customWidth="1"/>
    <col min="15877" max="15877" width="11.140625" bestFit="1" customWidth="1"/>
    <col min="16129" max="16129" width="46.5703125" customWidth="1"/>
    <col min="16130" max="16130" width="17.7109375" bestFit="1" customWidth="1"/>
    <col min="16131" max="16131" width="17.28515625" bestFit="1" customWidth="1"/>
    <col min="16132" max="16132" width="14.28515625" bestFit="1" customWidth="1"/>
    <col min="16133" max="16133" width="11.140625" bestFit="1" customWidth="1"/>
  </cols>
  <sheetData>
    <row r="1" spans="1:4">
      <c r="A1" s="1" t="s">
        <v>299</v>
      </c>
      <c r="B1" s="1"/>
      <c r="C1" s="1"/>
      <c r="D1" s="1"/>
    </row>
    <row r="2" spans="1:4">
      <c r="A2" s="464" t="s">
        <v>295</v>
      </c>
      <c r="B2" s="465"/>
      <c r="C2" s="465"/>
      <c r="D2" s="466"/>
    </row>
    <row r="3" spans="1:4">
      <c r="A3" s="446" t="s">
        <v>0</v>
      </c>
      <c r="B3" s="447"/>
      <c r="C3" s="447"/>
      <c r="D3" s="448"/>
    </row>
    <row r="4" spans="1:4">
      <c r="A4" s="446" t="s">
        <v>161</v>
      </c>
      <c r="B4" s="447"/>
      <c r="C4" s="447"/>
      <c r="D4" s="448"/>
    </row>
    <row r="5" spans="1:4">
      <c r="A5" s="464" t="s">
        <v>154</v>
      </c>
      <c r="B5" s="465"/>
      <c r="C5" s="465"/>
      <c r="D5" s="466"/>
    </row>
    <row r="6" spans="1:4">
      <c r="A6" s="446" t="s">
        <v>126</v>
      </c>
      <c r="B6" s="447"/>
      <c r="C6" s="447"/>
      <c r="D6" s="448"/>
    </row>
    <row r="7" spans="1:4">
      <c r="A7" s="446"/>
      <c r="B7" s="447"/>
      <c r="C7" s="447"/>
      <c r="D7" s="448"/>
    </row>
    <row r="8" spans="1:4" ht="15.75">
      <c r="A8" s="124" t="s">
        <v>96</v>
      </c>
      <c r="B8" s="125"/>
      <c r="C8" s="125"/>
      <c r="D8" s="126">
        <v>1</v>
      </c>
    </row>
    <row r="9" spans="1:4">
      <c r="A9" s="495" t="s">
        <v>97</v>
      </c>
      <c r="B9" s="456" t="s">
        <v>135</v>
      </c>
      <c r="C9" s="456" t="s">
        <v>136</v>
      </c>
      <c r="D9" s="498" t="s">
        <v>137</v>
      </c>
    </row>
    <row r="10" spans="1:4">
      <c r="A10" s="496"/>
      <c r="B10" s="497"/>
      <c r="C10" s="497"/>
      <c r="D10" s="499"/>
    </row>
    <row r="11" spans="1:4" ht="15.75">
      <c r="A11" s="90" t="s">
        <v>98</v>
      </c>
      <c r="B11" s="127">
        <f>SUM(B12:B13)</f>
        <v>0</v>
      </c>
      <c r="C11" s="128">
        <f>SUM(C12:C13)</f>
        <v>0</v>
      </c>
      <c r="D11" s="129">
        <f>SUM(D12:D13)</f>
        <v>0</v>
      </c>
    </row>
    <row r="12" spans="1:4" ht="15.75">
      <c r="A12" s="90" t="s">
        <v>99</v>
      </c>
      <c r="B12" s="130"/>
      <c r="C12" s="131"/>
      <c r="D12" s="132"/>
    </row>
    <row r="13" spans="1:4" ht="15.75">
      <c r="A13" s="93" t="s">
        <v>100</v>
      </c>
      <c r="B13" s="133"/>
      <c r="C13" s="133"/>
      <c r="D13" s="134"/>
    </row>
    <row r="14" spans="1:4" ht="15.75">
      <c r="A14" s="494"/>
      <c r="B14" s="494"/>
      <c r="C14" s="494"/>
      <c r="D14" s="494"/>
    </row>
    <row r="15" spans="1:4">
      <c r="A15" s="490" t="s">
        <v>101</v>
      </c>
      <c r="B15" s="456" t="s">
        <v>102</v>
      </c>
      <c r="C15" s="456" t="s">
        <v>103</v>
      </c>
      <c r="D15" s="492" t="s">
        <v>104</v>
      </c>
    </row>
    <row r="16" spans="1:4">
      <c r="A16" s="491"/>
      <c r="B16" s="458"/>
      <c r="C16" s="458"/>
      <c r="D16" s="493"/>
    </row>
    <row r="17" spans="1:5" ht="22.5">
      <c r="A17" s="90" t="s">
        <v>105</v>
      </c>
      <c r="B17" s="12">
        <f>B18+B22</f>
        <v>0</v>
      </c>
      <c r="C17" s="12">
        <f>C18+C22</f>
        <v>0</v>
      </c>
      <c r="D17" s="135">
        <f>D18+D22</f>
        <v>0</v>
      </c>
    </row>
    <row r="18" spans="1:5" s="139" customFormat="1" ht="15.75">
      <c r="A18" s="136" t="s">
        <v>106</v>
      </c>
      <c r="B18" s="137">
        <f>SUM(B19:B21)</f>
        <v>0</v>
      </c>
      <c r="C18" s="137">
        <f>SUM(C19:C21)</f>
        <v>0</v>
      </c>
      <c r="D18" s="138">
        <f>SUM(D19:D21)</f>
        <v>0</v>
      </c>
    </row>
    <row r="19" spans="1:5" ht="15.75">
      <c r="A19" s="90" t="s">
        <v>107</v>
      </c>
      <c r="B19" s="140"/>
      <c r="C19" s="140"/>
      <c r="D19" s="141"/>
      <c r="E19" s="30"/>
    </row>
    <row r="20" spans="1:5" ht="15.75">
      <c r="A20" s="90" t="s">
        <v>108</v>
      </c>
      <c r="B20" s="140"/>
      <c r="C20" s="140"/>
      <c r="D20" s="141"/>
      <c r="E20" s="30"/>
    </row>
    <row r="21" spans="1:5" ht="15.75">
      <c r="A21" s="90" t="s">
        <v>109</v>
      </c>
      <c r="B21" s="140"/>
      <c r="C21" s="140"/>
      <c r="D21" s="141"/>
      <c r="E21" s="30"/>
    </row>
    <row r="22" spans="1:5" ht="15.75">
      <c r="A22" s="90" t="s">
        <v>110</v>
      </c>
      <c r="B22" s="142">
        <f>SUM(B23:B24)</f>
        <v>0</v>
      </c>
      <c r="C22" s="142">
        <f>SUM(C23:C24)</f>
        <v>0</v>
      </c>
      <c r="D22" s="91">
        <f>SUM(D23:D24)</f>
        <v>0</v>
      </c>
    </row>
    <row r="23" spans="1:5" ht="15.75">
      <c r="A23" s="90" t="s">
        <v>111</v>
      </c>
      <c r="B23" s="143"/>
      <c r="C23" s="143"/>
      <c r="D23" s="92"/>
    </row>
    <row r="24" spans="1:5" ht="15.75">
      <c r="A24" s="93" t="s">
        <v>112</v>
      </c>
      <c r="B24" s="144"/>
      <c r="C24" s="144"/>
      <c r="D24" s="97"/>
    </row>
    <row r="25" spans="1:5" ht="15.75">
      <c r="A25" s="145"/>
      <c r="B25" s="97"/>
      <c r="C25" s="97"/>
      <c r="D25" s="97"/>
    </row>
    <row r="26" spans="1:5" ht="23.25">
      <c r="A26" s="146" t="s">
        <v>113</v>
      </c>
      <c r="B26" s="147" t="s">
        <v>114</v>
      </c>
      <c r="C26" s="147" t="s">
        <v>115</v>
      </c>
      <c r="D26" s="147" t="s">
        <v>116</v>
      </c>
    </row>
    <row r="27" spans="1:5" ht="15.75">
      <c r="A27" s="148" t="s">
        <v>117</v>
      </c>
      <c r="B27" s="149">
        <f>(B11-B17)+C27</f>
        <v>0</v>
      </c>
      <c r="C27" s="149">
        <f>(C11-C17)+D27</f>
        <v>0</v>
      </c>
      <c r="D27" s="149">
        <f>(D11-D17)</f>
        <v>0</v>
      </c>
    </row>
    <row r="28" spans="1:5">
      <c r="A28" s="445" t="s">
        <v>118</v>
      </c>
      <c r="B28" s="445"/>
      <c r="C28" s="445"/>
      <c r="D28" s="445"/>
    </row>
    <row r="29" spans="1:5">
      <c r="A29" s="150" t="s">
        <v>138</v>
      </c>
      <c r="B29" s="151"/>
      <c r="C29" s="151"/>
      <c r="D29" s="151"/>
    </row>
    <row r="34" spans="1:11">
      <c r="A34" s="18" t="s">
        <v>25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>
      <c r="A35" s="18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</sheetData>
  <mergeCells count="16">
    <mergeCell ref="A14:D14"/>
    <mergeCell ref="A2:D2"/>
    <mergeCell ref="A3:D3"/>
    <mergeCell ref="A4:D4"/>
    <mergeCell ref="A5:D5"/>
    <mergeCell ref="A6:D6"/>
    <mergeCell ref="A7:D7"/>
    <mergeCell ref="A9:A10"/>
    <mergeCell ref="B9:B10"/>
    <mergeCell ref="C9:C10"/>
    <mergeCell ref="D9:D10"/>
    <mergeCell ref="A15:A16"/>
    <mergeCell ref="B15:B16"/>
    <mergeCell ref="C15:C16"/>
    <mergeCell ref="D15:D16"/>
    <mergeCell ref="A28:D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D18" sqref="D18"/>
    </sheetView>
  </sheetViews>
  <sheetFormatPr defaultRowHeight="15"/>
  <cols>
    <col min="1" max="1" width="6.5703125" customWidth="1"/>
    <col min="3" max="3" width="12.28515625" customWidth="1"/>
    <col min="4" max="4" width="11.85546875" bestFit="1" customWidth="1"/>
    <col min="5" max="5" width="32.5703125" customWidth="1"/>
    <col min="6" max="8" width="12.42578125" bestFit="1" customWidth="1"/>
    <col min="9" max="9" width="17.85546875" customWidth="1"/>
    <col min="257" max="257" width="6.5703125" customWidth="1"/>
    <col min="260" max="260" width="11.85546875" bestFit="1" customWidth="1"/>
    <col min="261" max="261" width="30.7109375" bestFit="1" customWidth="1"/>
    <col min="265" max="265" width="12.85546875" bestFit="1" customWidth="1"/>
    <col min="513" max="513" width="6.5703125" customWidth="1"/>
    <col min="516" max="516" width="11.85546875" bestFit="1" customWidth="1"/>
    <col min="517" max="517" width="30.7109375" bestFit="1" customWidth="1"/>
    <col min="521" max="521" width="12.85546875" bestFit="1" customWidth="1"/>
    <col min="769" max="769" width="6.5703125" customWidth="1"/>
    <col min="772" max="772" width="11.85546875" bestFit="1" customWidth="1"/>
    <col min="773" max="773" width="30.7109375" bestFit="1" customWidth="1"/>
    <col min="777" max="777" width="12.85546875" bestFit="1" customWidth="1"/>
    <col min="1025" max="1025" width="6.5703125" customWidth="1"/>
    <col min="1028" max="1028" width="11.85546875" bestFit="1" customWidth="1"/>
    <col min="1029" max="1029" width="30.7109375" bestFit="1" customWidth="1"/>
    <col min="1033" max="1033" width="12.85546875" bestFit="1" customWidth="1"/>
    <col min="1281" max="1281" width="6.5703125" customWidth="1"/>
    <col min="1284" max="1284" width="11.85546875" bestFit="1" customWidth="1"/>
    <col min="1285" max="1285" width="30.7109375" bestFit="1" customWidth="1"/>
    <col min="1289" max="1289" width="12.85546875" bestFit="1" customWidth="1"/>
    <col min="1537" max="1537" width="6.5703125" customWidth="1"/>
    <col min="1540" max="1540" width="11.85546875" bestFit="1" customWidth="1"/>
    <col min="1541" max="1541" width="30.7109375" bestFit="1" customWidth="1"/>
    <col min="1545" max="1545" width="12.85546875" bestFit="1" customWidth="1"/>
    <col min="1793" max="1793" width="6.5703125" customWidth="1"/>
    <col min="1796" max="1796" width="11.85546875" bestFit="1" customWidth="1"/>
    <col min="1797" max="1797" width="30.7109375" bestFit="1" customWidth="1"/>
    <col min="1801" max="1801" width="12.85546875" bestFit="1" customWidth="1"/>
    <col min="2049" max="2049" width="6.5703125" customWidth="1"/>
    <col min="2052" max="2052" width="11.85546875" bestFit="1" customWidth="1"/>
    <col min="2053" max="2053" width="30.7109375" bestFit="1" customWidth="1"/>
    <col min="2057" max="2057" width="12.85546875" bestFit="1" customWidth="1"/>
    <col min="2305" max="2305" width="6.5703125" customWidth="1"/>
    <col min="2308" max="2308" width="11.85546875" bestFit="1" customWidth="1"/>
    <col min="2309" max="2309" width="30.7109375" bestFit="1" customWidth="1"/>
    <col min="2313" max="2313" width="12.85546875" bestFit="1" customWidth="1"/>
    <col min="2561" max="2561" width="6.5703125" customWidth="1"/>
    <col min="2564" max="2564" width="11.85546875" bestFit="1" customWidth="1"/>
    <col min="2565" max="2565" width="30.7109375" bestFit="1" customWidth="1"/>
    <col min="2569" max="2569" width="12.85546875" bestFit="1" customWidth="1"/>
    <col min="2817" max="2817" width="6.5703125" customWidth="1"/>
    <col min="2820" max="2820" width="11.85546875" bestFit="1" customWidth="1"/>
    <col min="2821" max="2821" width="30.7109375" bestFit="1" customWidth="1"/>
    <col min="2825" max="2825" width="12.85546875" bestFit="1" customWidth="1"/>
    <col min="3073" max="3073" width="6.5703125" customWidth="1"/>
    <col min="3076" max="3076" width="11.85546875" bestFit="1" customWidth="1"/>
    <col min="3077" max="3077" width="30.7109375" bestFit="1" customWidth="1"/>
    <col min="3081" max="3081" width="12.85546875" bestFit="1" customWidth="1"/>
    <col min="3329" max="3329" width="6.5703125" customWidth="1"/>
    <col min="3332" max="3332" width="11.85546875" bestFit="1" customWidth="1"/>
    <col min="3333" max="3333" width="30.7109375" bestFit="1" customWidth="1"/>
    <col min="3337" max="3337" width="12.85546875" bestFit="1" customWidth="1"/>
    <col min="3585" max="3585" width="6.5703125" customWidth="1"/>
    <col min="3588" max="3588" width="11.85546875" bestFit="1" customWidth="1"/>
    <col min="3589" max="3589" width="30.7109375" bestFit="1" customWidth="1"/>
    <col min="3593" max="3593" width="12.85546875" bestFit="1" customWidth="1"/>
    <col min="3841" max="3841" width="6.5703125" customWidth="1"/>
    <col min="3844" max="3844" width="11.85546875" bestFit="1" customWidth="1"/>
    <col min="3845" max="3845" width="30.7109375" bestFit="1" customWidth="1"/>
    <col min="3849" max="3849" width="12.85546875" bestFit="1" customWidth="1"/>
    <col min="4097" max="4097" width="6.5703125" customWidth="1"/>
    <col min="4100" max="4100" width="11.85546875" bestFit="1" customWidth="1"/>
    <col min="4101" max="4101" width="30.7109375" bestFit="1" customWidth="1"/>
    <col min="4105" max="4105" width="12.85546875" bestFit="1" customWidth="1"/>
    <col min="4353" max="4353" width="6.5703125" customWidth="1"/>
    <col min="4356" max="4356" width="11.85546875" bestFit="1" customWidth="1"/>
    <col min="4357" max="4357" width="30.7109375" bestFit="1" customWidth="1"/>
    <col min="4361" max="4361" width="12.85546875" bestFit="1" customWidth="1"/>
    <col min="4609" max="4609" width="6.5703125" customWidth="1"/>
    <col min="4612" max="4612" width="11.85546875" bestFit="1" customWidth="1"/>
    <col min="4613" max="4613" width="30.7109375" bestFit="1" customWidth="1"/>
    <col min="4617" max="4617" width="12.85546875" bestFit="1" customWidth="1"/>
    <col min="4865" max="4865" width="6.5703125" customWidth="1"/>
    <col min="4868" max="4868" width="11.85546875" bestFit="1" customWidth="1"/>
    <col min="4869" max="4869" width="30.7109375" bestFit="1" customWidth="1"/>
    <col min="4873" max="4873" width="12.85546875" bestFit="1" customWidth="1"/>
    <col min="5121" max="5121" width="6.5703125" customWidth="1"/>
    <col min="5124" max="5124" width="11.85546875" bestFit="1" customWidth="1"/>
    <col min="5125" max="5125" width="30.7109375" bestFit="1" customWidth="1"/>
    <col min="5129" max="5129" width="12.85546875" bestFit="1" customWidth="1"/>
    <col min="5377" max="5377" width="6.5703125" customWidth="1"/>
    <col min="5380" max="5380" width="11.85546875" bestFit="1" customWidth="1"/>
    <col min="5381" max="5381" width="30.7109375" bestFit="1" customWidth="1"/>
    <col min="5385" max="5385" width="12.85546875" bestFit="1" customWidth="1"/>
    <col min="5633" max="5633" width="6.5703125" customWidth="1"/>
    <col min="5636" max="5636" width="11.85546875" bestFit="1" customWidth="1"/>
    <col min="5637" max="5637" width="30.7109375" bestFit="1" customWidth="1"/>
    <col min="5641" max="5641" width="12.85546875" bestFit="1" customWidth="1"/>
    <col min="5889" max="5889" width="6.5703125" customWidth="1"/>
    <col min="5892" max="5892" width="11.85546875" bestFit="1" customWidth="1"/>
    <col min="5893" max="5893" width="30.7109375" bestFit="1" customWidth="1"/>
    <col min="5897" max="5897" width="12.85546875" bestFit="1" customWidth="1"/>
    <col min="6145" max="6145" width="6.5703125" customWidth="1"/>
    <col min="6148" max="6148" width="11.85546875" bestFit="1" customWidth="1"/>
    <col min="6149" max="6149" width="30.7109375" bestFit="1" customWidth="1"/>
    <col min="6153" max="6153" width="12.85546875" bestFit="1" customWidth="1"/>
    <col min="6401" max="6401" width="6.5703125" customWidth="1"/>
    <col min="6404" max="6404" width="11.85546875" bestFit="1" customWidth="1"/>
    <col min="6405" max="6405" width="30.7109375" bestFit="1" customWidth="1"/>
    <col min="6409" max="6409" width="12.85546875" bestFit="1" customWidth="1"/>
    <col min="6657" max="6657" width="6.5703125" customWidth="1"/>
    <col min="6660" max="6660" width="11.85546875" bestFit="1" customWidth="1"/>
    <col min="6661" max="6661" width="30.7109375" bestFit="1" customWidth="1"/>
    <col min="6665" max="6665" width="12.85546875" bestFit="1" customWidth="1"/>
    <col min="6913" max="6913" width="6.5703125" customWidth="1"/>
    <col min="6916" max="6916" width="11.85546875" bestFit="1" customWidth="1"/>
    <col min="6917" max="6917" width="30.7109375" bestFit="1" customWidth="1"/>
    <col min="6921" max="6921" width="12.85546875" bestFit="1" customWidth="1"/>
    <col min="7169" max="7169" width="6.5703125" customWidth="1"/>
    <col min="7172" max="7172" width="11.85546875" bestFit="1" customWidth="1"/>
    <col min="7173" max="7173" width="30.7109375" bestFit="1" customWidth="1"/>
    <col min="7177" max="7177" width="12.85546875" bestFit="1" customWidth="1"/>
    <col min="7425" max="7425" width="6.5703125" customWidth="1"/>
    <col min="7428" max="7428" width="11.85546875" bestFit="1" customWidth="1"/>
    <col min="7429" max="7429" width="30.7109375" bestFit="1" customWidth="1"/>
    <col min="7433" max="7433" width="12.85546875" bestFit="1" customWidth="1"/>
    <col min="7681" max="7681" width="6.5703125" customWidth="1"/>
    <col min="7684" max="7684" width="11.85546875" bestFit="1" customWidth="1"/>
    <col min="7685" max="7685" width="30.7109375" bestFit="1" customWidth="1"/>
    <col min="7689" max="7689" width="12.85546875" bestFit="1" customWidth="1"/>
    <col min="7937" max="7937" width="6.5703125" customWidth="1"/>
    <col min="7940" max="7940" width="11.85546875" bestFit="1" customWidth="1"/>
    <col min="7941" max="7941" width="30.7109375" bestFit="1" customWidth="1"/>
    <col min="7945" max="7945" width="12.85546875" bestFit="1" customWidth="1"/>
    <col min="8193" max="8193" width="6.5703125" customWidth="1"/>
    <col min="8196" max="8196" width="11.85546875" bestFit="1" customWidth="1"/>
    <col min="8197" max="8197" width="30.7109375" bestFit="1" customWidth="1"/>
    <col min="8201" max="8201" width="12.85546875" bestFit="1" customWidth="1"/>
    <col min="8449" max="8449" width="6.5703125" customWidth="1"/>
    <col min="8452" max="8452" width="11.85546875" bestFit="1" customWidth="1"/>
    <col min="8453" max="8453" width="30.7109375" bestFit="1" customWidth="1"/>
    <col min="8457" max="8457" width="12.85546875" bestFit="1" customWidth="1"/>
    <col min="8705" max="8705" width="6.5703125" customWidth="1"/>
    <col min="8708" max="8708" width="11.85546875" bestFit="1" customWidth="1"/>
    <col min="8709" max="8709" width="30.7109375" bestFit="1" customWidth="1"/>
    <col min="8713" max="8713" width="12.85546875" bestFit="1" customWidth="1"/>
    <col min="8961" max="8961" width="6.5703125" customWidth="1"/>
    <col min="8964" max="8964" width="11.85546875" bestFit="1" customWidth="1"/>
    <col min="8965" max="8965" width="30.7109375" bestFit="1" customWidth="1"/>
    <col min="8969" max="8969" width="12.85546875" bestFit="1" customWidth="1"/>
    <col min="9217" max="9217" width="6.5703125" customWidth="1"/>
    <col min="9220" max="9220" width="11.85546875" bestFit="1" customWidth="1"/>
    <col min="9221" max="9221" width="30.7109375" bestFit="1" customWidth="1"/>
    <col min="9225" max="9225" width="12.85546875" bestFit="1" customWidth="1"/>
    <col min="9473" max="9473" width="6.5703125" customWidth="1"/>
    <col min="9476" max="9476" width="11.85546875" bestFit="1" customWidth="1"/>
    <col min="9477" max="9477" width="30.7109375" bestFit="1" customWidth="1"/>
    <col min="9481" max="9481" width="12.85546875" bestFit="1" customWidth="1"/>
    <col min="9729" max="9729" width="6.5703125" customWidth="1"/>
    <col min="9732" max="9732" width="11.85546875" bestFit="1" customWidth="1"/>
    <col min="9733" max="9733" width="30.7109375" bestFit="1" customWidth="1"/>
    <col min="9737" max="9737" width="12.85546875" bestFit="1" customWidth="1"/>
    <col min="9985" max="9985" width="6.5703125" customWidth="1"/>
    <col min="9988" max="9988" width="11.85546875" bestFit="1" customWidth="1"/>
    <col min="9989" max="9989" width="30.7109375" bestFit="1" customWidth="1"/>
    <col min="9993" max="9993" width="12.85546875" bestFit="1" customWidth="1"/>
    <col min="10241" max="10241" width="6.5703125" customWidth="1"/>
    <col min="10244" max="10244" width="11.85546875" bestFit="1" customWidth="1"/>
    <col min="10245" max="10245" width="30.7109375" bestFit="1" customWidth="1"/>
    <col min="10249" max="10249" width="12.85546875" bestFit="1" customWidth="1"/>
    <col min="10497" max="10497" width="6.5703125" customWidth="1"/>
    <col min="10500" max="10500" width="11.85546875" bestFit="1" customWidth="1"/>
    <col min="10501" max="10501" width="30.7109375" bestFit="1" customWidth="1"/>
    <col min="10505" max="10505" width="12.85546875" bestFit="1" customWidth="1"/>
    <col min="10753" max="10753" width="6.5703125" customWidth="1"/>
    <col min="10756" max="10756" width="11.85546875" bestFit="1" customWidth="1"/>
    <col min="10757" max="10757" width="30.7109375" bestFit="1" customWidth="1"/>
    <col min="10761" max="10761" width="12.85546875" bestFit="1" customWidth="1"/>
    <col min="11009" max="11009" width="6.5703125" customWidth="1"/>
    <col min="11012" max="11012" width="11.85546875" bestFit="1" customWidth="1"/>
    <col min="11013" max="11013" width="30.7109375" bestFit="1" customWidth="1"/>
    <col min="11017" max="11017" width="12.85546875" bestFit="1" customWidth="1"/>
    <col min="11265" max="11265" width="6.5703125" customWidth="1"/>
    <col min="11268" max="11268" width="11.85546875" bestFit="1" customWidth="1"/>
    <col min="11269" max="11269" width="30.7109375" bestFit="1" customWidth="1"/>
    <col min="11273" max="11273" width="12.85546875" bestFit="1" customWidth="1"/>
    <col min="11521" max="11521" width="6.5703125" customWidth="1"/>
    <col min="11524" max="11524" width="11.85546875" bestFit="1" customWidth="1"/>
    <col min="11525" max="11525" width="30.7109375" bestFit="1" customWidth="1"/>
    <col min="11529" max="11529" width="12.85546875" bestFit="1" customWidth="1"/>
    <col min="11777" max="11777" width="6.5703125" customWidth="1"/>
    <col min="11780" max="11780" width="11.85546875" bestFit="1" customWidth="1"/>
    <col min="11781" max="11781" width="30.7109375" bestFit="1" customWidth="1"/>
    <col min="11785" max="11785" width="12.85546875" bestFit="1" customWidth="1"/>
    <col min="12033" max="12033" width="6.5703125" customWidth="1"/>
    <col min="12036" max="12036" width="11.85546875" bestFit="1" customWidth="1"/>
    <col min="12037" max="12037" width="30.7109375" bestFit="1" customWidth="1"/>
    <col min="12041" max="12041" width="12.85546875" bestFit="1" customWidth="1"/>
    <col min="12289" max="12289" width="6.5703125" customWidth="1"/>
    <col min="12292" max="12292" width="11.85546875" bestFit="1" customWidth="1"/>
    <col min="12293" max="12293" width="30.7109375" bestFit="1" customWidth="1"/>
    <col min="12297" max="12297" width="12.85546875" bestFit="1" customWidth="1"/>
    <col min="12545" max="12545" width="6.5703125" customWidth="1"/>
    <col min="12548" max="12548" width="11.85546875" bestFit="1" customWidth="1"/>
    <col min="12549" max="12549" width="30.7109375" bestFit="1" customWidth="1"/>
    <col min="12553" max="12553" width="12.85546875" bestFit="1" customWidth="1"/>
    <col min="12801" max="12801" width="6.5703125" customWidth="1"/>
    <col min="12804" max="12804" width="11.85546875" bestFit="1" customWidth="1"/>
    <col min="12805" max="12805" width="30.7109375" bestFit="1" customWidth="1"/>
    <col min="12809" max="12809" width="12.85546875" bestFit="1" customWidth="1"/>
    <col min="13057" max="13057" width="6.5703125" customWidth="1"/>
    <col min="13060" max="13060" width="11.85546875" bestFit="1" customWidth="1"/>
    <col min="13061" max="13061" width="30.7109375" bestFit="1" customWidth="1"/>
    <col min="13065" max="13065" width="12.85546875" bestFit="1" customWidth="1"/>
    <col min="13313" max="13313" width="6.5703125" customWidth="1"/>
    <col min="13316" max="13316" width="11.85546875" bestFit="1" customWidth="1"/>
    <col min="13317" max="13317" width="30.7109375" bestFit="1" customWidth="1"/>
    <col min="13321" max="13321" width="12.85546875" bestFit="1" customWidth="1"/>
    <col min="13569" max="13569" width="6.5703125" customWidth="1"/>
    <col min="13572" max="13572" width="11.85546875" bestFit="1" customWidth="1"/>
    <col min="13573" max="13573" width="30.7109375" bestFit="1" customWidth="1"/>
    <col min="13577" max="13577" width="12.85546875" bestFit="1" customWidth="1"/>
    <col min="13825" max="13825" width="6.5703125" customWidth="1"/>
    <col min="13828" max="13828" width="11.85546875" bestFit="1" customWidth="1"/>
    <col min="13829" max="13829" width="30.7109375" bestFit="1" customWidth="1"/>
    <col min="13833" max="13833" width="12.85546875" bestFit="1" customWidth="1"/>
    <col min="14081" max="14081" width="6.5703125" customWidth="1"/>
    <col min="14084" max="14084" width="11.85546875" bestFit="1" customWidth="1"/>
    <col min="14085" max="14085" width="30.7109375" bestFit="1" customWidth="1"/>
    <col min="14089" max="14089" width="12.85546875" bestFit="1" customWidth="1"/>
    <col min="14337" max="14337" width="6.5703125" customWidth="1"/>
    <col min="14340" max="14340" width="11.85546875" bestFit="1" customWidth="1"/>
    <col min="14341" max="14341" width="30.7109375" bestFit="1" customWidth="1"/>
    <col min="14345" max="14345" width="12.85546875" bestFit="1" customWidth="1"/>
    <col min="14593" max="14593" width="6.5703125" customWidth="1"/>
    <col min="14596" max="14596" width="11.85546875" bestFit="1" customWidth="1"/>
    <col min="14597" max="14597" width="30.7109375" bestFit="1" customWidth="1"/>
    <col min="14601" max="14601" width="12.85546875" bestFit="1" customWidth="1"/>
    <col min="14849" max="14849" width="6.5703125" customWidth="1"/>
    <col min="14852" max="14852" width="11.85546875" bestFit="1" customWidth="1"/>
    <col min="14853" max="14853" width="30.7109375" bestFit="1" customWidth="1"/>
    <col min="14857" max="14857" width="12.85546875" bestFit="1" customWidth="1"/>
    <col min="15105" max="15105" width="6.5703125" customWidth="1"/>
    <col min="15108" max="15108" width="11.85546875" bestFit="1" customWidth="1"/>
    <col min="15109" max="15109" width="30.7109375" bestFit="1" customWidth="1"/>
    <col min="15113" max="15113" width="12.85546875" bestFit="1" customWidth="1"/>
    <col min="15361" max="15361" width="6.5703125" customWidth="1"/>
    <col min="15364" max="15364" width="11.85546875" bestFit="1" customWidth="1"/>
    <col min="15365" max="15365" width="30.7109375" bestFit="1" customWidth="1"/>
    <col min="15369" max="15369" width="12.85546875" bestFit="1" customWidth="1"/>
    <col min="15617" max="15617" width="6.5703125" customWidth="1"/>
    <col min="15620" max="15620" width="11.85546875" bestFit="1" customWidth="1"/>
    <col min="15621" max="15621" width="30.7109375" bestFit="1" customWidth="1"/>
    <col min="15625" max="15625" width="12.85546875" bestFit="1" customWidth="1"/>
    <col min="15873" max="15873" width="6.5703125" customWidth="1"/>
    <col min="15876" max="15876" width="11.85546875" bestFit="1" customWidth="1"/>
    <col min="15877" max="15877" width="30.7109375" bestFit="1" customWidth="1"/>
    <col min="15881" max="15881" width="12.85546875" bestFit="1" customWidth="1"/>
    <col min="16129" max="16129" width="6.5703125" customWidth="1"/>
    <col min="16132" max="16132" width="11.85546875" bestFit="1" customWidth="1"/>
    <col min="16133" max="16133" width="30.7109375" bestFit="1" customWidth="1"/>
    <col min="16137" max="16137" width="12.85546875" bestFit="1" customWidth="1"/>
  </cols>
  <sheetData>
    <row r="1" spans="3:9">
      <c r="C1" s="1" t="s">
        <v>300</v>
      </c>
      <c r="D1" s="1"/>
      <c r="E1" s="1"/>
      <c r="F1" s="1"/>
      <c r="G1" s="1"/>
      <c r="H1" s="1"/>
      <c r="I1" s="1"/>
    </row>
    <row r="2" spans="3:9">
      <c r="C2" s="113"/>
      <c r="D2" s="114"/>
      <c r="E2" s="204" t="s">
        <v>295</v>
      </c>
      <c r="F2" s="114"/>
      <c r="G2" s="114"/>
      <c r="H2" s="114"/>
      <c r="I2" s="115"/>
    </row>
    <row r="3" spans="3:9">
      <c r="C3" s="446" t="s">
        <v>0</v>
      </c>
      <c r="D3" s="447"/>
      <c r="E3" s="447"/>
      <c r="F3" s="447"/>
      <c r="G3" s="447"/>
      <c r="H3" s="447"/>
      <c r="I3" s="448"/>
    </row>
    <row r="4" spans="3:9">
      <c r="C4" s="446" t="s">
        <v>160</v>
      </c>
      <c r="D4" s="447"/>
      <c r="E4" s="447"/>
      <c r="F4" s="447"/>
      <c r="G4" s="447"/>
      <c r="H4" s="447"/>
      <c r="I4" s="448"/>
    </row>
    <row r="5" spans="3:9">
      <c r="C5" s="446" t="s">
        <v>1</v>
      </c>
      <c r="D5" s="447"/>
      <c r="E5" s="447"/>
      <c r="F5" s="447"/>
      <c r="G5" s="447"/>
      <c r="H5" s="447"/>
      <c r="I5" s="448"/>
    </row>
    <row r="6" spans="3:9">
      <c r="C6" s="464" t="s">
        <v>158</v>
      </c>
      <c r="D6" s="465"/>
      <c r="E6" s="465"/>
      <c r="F6" s="465"/>
      <c r="G6" s="465"/>
      <c r="H6" s="465"/>
      <c r="I6" s="466"/>
    </row>
    <row r="7" spans="3:9">
      <c r="C7" s="446" t="s">
        <v>126</v>
      </c>
      <c r="D7" s="447"/>
      <c r="E7" s="447"/>
      <c r="F7" s="447"/>
      <c r="G7" s="447"/>
      <c r="H7" s="447"/>
      <c r="I7" s="448"/>
    </row>
    <row r="8" spans="3:9">
      <c r="C8" s="113"/>
      <c r="D8" s="114"/>
      <c r="E8" s="114"/>
      <c r="F8" s="114"/>
      <c r="G8" s="114"/>
      <c r="H8" s="114"/>
      <c r="I8" s="115"/>
    </row>
    <row r="9" spans="3:9">
      <c r="C9" s="116" t="s">
        <v>88</v>
      </c>
      <c r="D9" s="117"/>
      <c r="E9" s="117"/>
      <c r="F9" s="117"/>
      <c r="G9" s="117"/>
      <c r="H9" s="118"/>
      <c r="I9" s="119">
        <v>1</v>
      </c>
    </row>
    <row r="10" spans="3:9">
      <c r="C10" s="453" t="s">
        <v>89</v>
      </c>
      <c r="D10" s="492" t="s">
        <v>90</v>
      </c>
      <c r="E10" s="456" t="s">
        <v>91</v>
      </c>
      <c r="F10" s="492" t="s">
        <v>92</v>
      </c>
      <c r="G10" s="506"/>
      <c r="H10" s="507"/>
      <c r="I10" s="492" t="s">
        <v>93</v>
      </c>
    </row>
    <row r="11" spans="3:9">
      <c r="C11" s="454"/>
      <c r="D11" s="502"/>
      <c r="E11" s="504"/>
      <c r="F11" s="503"/>
      <c r="G11" s="508"/>
      <c r="H11" s="509"/>
      <c r="I11" s="510"/>
    </row>
    <row r="12" spans="3:9">
      <c r="C12" s="455"/>
      <c r="D12" s="503"/>
      <c r="E12" s="505"/>
      <c r="F12" s="120">
        <v>2022</v>
      </c>
      <c r="G12" s="120">
        <v>2023</v>
      </c>
      <c r="H12" s="120">
        <v>2024</v>
      </c>
      <c r="I12" s="493"/>
    </row>
    <row r="13" spans="3:9" ht="72.75" customHeight="1">
      <c r="C13" s="31" t="s">
        <v>1271</v>
      </c>
      <c r="D13" s="31"/>
      <c r="E13" s="31" t="s">
        <v>1272</v>
      </c>
      <c r="F13" s="428">
        <v>181940</v>
      </c>
      <c r="G13" s="428">
        <f>F13*(1+3.25%)</f>
        <v>187853.05</v>
      </c>
      <c r="H13" s="428">
        <f>G13*(1+3.25%)</f>
        <v>193958.274125</v>
      </c>
      <c r="I13" s="429" t="s">
        <v>1273</v>
      </c>
    </row>
    <row r="14" spans="3:9" ht="15.75">
      <c r="C14" s="31" t="s">
        <v>1274</v>
      </c>
      <c r="D14" s="31"/>
      <c r="E14" s="31"/>
      <c r="F14" s="31"/>
      <c r="G14" s="31"/>
      <c r="H14" s="31"/>
      <c r="I14" s="425"/>
    </row>
    <row r="15" spans="3:9" ht="15.75">
      <c r="C15" s="121"/>
      <c r="D15" s="121"/>
      <c r="E15" s="121"/>
      <c r="F15" s="121"/>
      <c r="G15" s="121"/>
      <c r="H15" s="121"/>
      <c r="I15" s="122"/>
    </row>
    <row r="16" spans="3:9" ht="15.75">
      <c r="C16" s="500" t="s">
        <v>32</v>
      </c>
      <c r="D16" s="500"/>
      <c r="E16" s="501"/>
      <c r="F16" s="121"/>
      <c r="G16" s="121"/>
      <c r="H16" s="121"/>
      <c r="I16" s="122" t="s">
        <v>94</v>
      </c>
    </row>
    <row r="17" spans="1:11">
      <c r="C17" s="123" t="s">
        <v>87</v>
      </c>
      <c r="D17" s="424" t="s">
        <v>1275</v>
      </c>
      <c r="E17" s="123"/>
      <c r="F17" s="123"/>
      <c r="G17" s="123"/>
      <c r="H17" s="123"/>
      <c r="I17" s="123"/>
    </row>
    <row r="18" spans="1:11">
      <c r="C18" t="s">
        <v>95</v>
      </c>
    </row>
    <row r="19" spans="1:11">
      <c r="C19" t="s">
        <v>125</v>
      </c>
    </row>
    <row r="25" spans="1:11" s="42" customFormat="1" ht="11.25">
      <c r="A25" s="18"/>
      <c r="B25" s="18" t="s">
        <v>25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s="42" customFormat="1" ht="11.25">
      <c r="A26" s="18"/>
      <c r="B26" s="18" t="s">
        <v>24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1:11" s="42" customFormat="1" ht="11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9" spans="1:11">
      <c r="C29" s="219"/>
    </row>
  </sheetData>
  <mergeCells count="11">
    <mergeCell ref="C16:E16"/>
    <mergeCell ref="C3:I3"/>
    <mergeCell ref="C4:I4"/>
    <mergeCell ref="C5:I5"/>
    <mergeCell ref="C6:I6"/>
    <mergeCell ref="C7:I7"/>
    <mergeCell ref="C10:C12"/>
    <mergeCell ref="D10:D12"/>
    <mergeCell ref="E10:E12"/>
    <mergeCell ref="F10:H11"/>
    <mergeCell ref="I10:I1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5"/>
  <sheetViews>
    <sheetView topLeftCell="A19" workbookViewId="0"/>
  </sheetViews>
  <sheetFormatPr defaultRowHeight="15"/>
  <cols>
    <col min="1" max="4" width="1" customWidth="1"/>
    <col min="5" max="5" width="42.140625" customWidth="1"/>
    <col min="6" max="6" width="1" customWidth="1"/>
    <col min="7" max="7" width="3.5703125" customWidth="1"/>
    <col min="8" max="11" width="1" customWidth="1"/>
    <col min="12" max="12" width="8.42578125" customWidth="1"/>
    <col min="13" max="13" width="12.7109375" customWidth="1"/>
    <col min="14" max="14" width="12.5703125" customWidth="1"/>
  </cols>
  <sheetData>
    <row r="1" spans="1:14" ht="14.85" customHeight="1">
      <c r="L1" s="220"/>
      <c r="M1" s="511" t="s">
        <v>294</v>
      </c>
      <c r="N1" s="512"/>
    </row>
    <row r="2" spans="1:14" ht="3" customHeight="1">
      <c r="M2" s="221"/>
      <c r="N2" s="221"/>
    </row>
    <row r="3" spans="1:14" ht="8.1" customHeight="1">
      <c r="A3" s="513" t="s">
        <v>163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</row>
    <row r="4" spans="1:14" ht="8.85" customHeight="1">
      <c r="A4" s="513" t="s">
        <v>161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8.85" customHeight="1">
      <c r="A5" s="513" t="s">
        <v>301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</row>
    <row r="6" spans="1:14" ht="8.85" customHeight="1">
      <c r="A6" s="514" t="s">
        <v>293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7" spans="1:14" ht="8.85" customHeight="1">
      <c r="A7" s="513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</row>
    <row r="8" spans="1:14" ht="14.1" customHeight="1">
      <c r="A8" s="525" t="s">
        <v>164</v>
      </c>
      <c r="B8" s="525"/>
      <c r="C8" s="525"/>
      <c r="D8" s="525"/>
      <c r="E8" s="525"/>
      <c r="F8" s="222"/>
      <c r="G8" s="526" t="s">
        <v>165</v>
      </c>
      <c r="H8" s="526"/>
      <c r="I8" s="526"/>
      <c r="J8" s="526"/>
      <c r="K8" s="526"/>
      <c r="L8" s="526"/>
      <c r="M8" s="526"/>
      <c r="N8" s="526"/>
    </row>
    <row r="9" spans="1:14" ht="11.85" customHeight="1">
      <c r="A9" s="527" t="s">
        <v>166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</row>
    <row r="10" spans="1:14" ht="8.85" customHeight="1">
      <c r="A10" s="528" t="s">
        <v>167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</row>
    <row r="11" spans="1:14" ht="8.85" customHeight="1">
      <c r="A11" s="529" t="s">
        <v>168</v>
      </c>
      <c r="B11" s="530"/>
      <c r="C11" s="530"/>
      <c r="D11" s="530"/>
      <c r="E11" s="530"/>
      <c r="F11" s="530"/>
      <c r="G11" s="529"/>
      <c r="H11" s="531" t="s">
        <v>169</v>
      </c>
      <c r="I11" s="532"/>
      <c r="J11" s="532"/>
      <c r="K11" s="532"/>
      <c r="L11" s="533"/>
      <c r="M11" s="223" t="s">
        <v>170</v>
      </c>
      <c r="N11" s="224" t="s">
        <v>171</v>
      </c>
    </row>
    <row r="12" spans="1:14" ht="8.85" customHeight="1">
      <c r="A12" s="225"/>
      <c r="B12" s="515" t="s">
        <v>172</v>
      </c>
      <c r="C12" s="516"/>
      <c r="D12" s="516"/>
      <c r="E12" s="516"/>
      <c r="F12" s="516"/>
      <c r="G12" s="515"/>
      <c r="H12" s="517" t="s">
        <v>173</v>
      </c>
      <c r="I12" s="518"/>
      <c r="J12" s="518"/>
      <c r="K12" s="518"/>
      <c r="L12" s="519"/>
      <c r="M12" s="226" t="s">
        <v>174</v>
      </c>
      <c r="N12" s="227" t="s">
        <v>175</v>
      </c>
    </row>
    <row r="13" spans="1:14" ht="8.1" customHeight="1">
      <c r="C13" s="520" t="s">
        <v>176</v>
      </c>
      <c r="D13" s="521"/>
      <c r="E13" s="521"/>
      <c r="F13" s="521"/>
      <c r="G13" s="520"/>
      <c r="H13" s="522" t="s">
        <v>177</v>
      </c>
      <c r="I13" s="523"/>
      <c r="J13" s="523"/>
      <c r="K13" s="523"/>
      <c r="L13" s="524"/>
      <c r="M13" s="228" t="s">
        <v>178</v>
      </c>
      <c r="N13" s="229" t="s">
        <v>179</v>
      </c>
    </row>
    <row r="14" spans="1:14" ht="8.85" customHeight="1">
      <c r="D14" s="520" t="s">
        <v>180</v>
      </c>
      <c r="E14" s="521"/>
      <c r="F14" s="521"/>
      <c r="G14" s="520"/>
      <c r="H14" s="522" t="s">
        <v>177</v>
      </c>
      <c r="I14" s="523"/>
      <c r="J14" s="523"/>
      <c r="K14" s="523"/>
      <c r="L14" s="524"/>
      <c r="M14" s="228" t="s">
        <v>178</v>
      </c>
      <c r="N14" s="229" t="s">
        <v>179</v>
      </c>
    </row>
    <row r="15" spans="1:14" ht="8.85" customHeight="1">
      <c r="E15" s="520" t="s">
        <v>181</v>
      </c>
      <c r="F15" s="521"/>
      <c r="G15" s="520"/>
      <c r="H15" s="522" t="s">
        <v>182</v>
      </c>
      <c r="I15" s="523"/>
      <c r="J15" s="523"/>
      <c r="K15" s="523"/>
      <c r="L15" s="524"/>
      <c r="M15" s="228" t="s">
        <v>183</v>
      </c>
      <c r="N15" s="229" t="s">
        <v>184</v>
      </c>
    </row>
    <row r="16" spans="1:14" ht="8.85" customHeight="1">
      <c r="E16" s="520" t="s">
        <v>185</v>
      </c>
      <c r="F16" s="521"/>
      <c r="G16" s="520"/>
      <c r="H16" s="522" t="s">
        <v>186</v>
      </c>
      <c r="I16" s="523"/>
      <c r="J16" s="523"/>
      <c r="K16" s="523"/>
      <c r="L16" s="524"/>
      <c r="M16" s="228" t="s">
        <v>187</v>
      </c>
      <c r="N16" s="229" t="s">
        <v>188</v>
      </c>
    </row>
    <row r="17" spans="2:14" ht="8.85" customHeight="1">
      <c r="E17" s="520" t="s">
        <v>189</v>
      </c>
      <c r="F17" s="521"/>
      <c r="G17" s="520"/>
      <c r="H17" s="522" t="s">
        <v>190</v>
      </c>
      <c r="I17" s="523"/>
      <c r="J17" s="523"/>
      <c r="K17" s="523"/>
      <c r="L17" s="524"/>
      <c r="M17" s="228" t="s">
        <v>191</v>
      </c>
      <c r="N17" s="229" t="s">
        <v>192</v>
      </c>
    </row>
    <row r="18" spans="2:14" ht="8.85" customHeight="1">
      <c r="C18" s="520" t="s">
        <v>193</v>
      </c>
      <c r="D18" s="521"/>
      <c r="E18" s="521"/>
      <c r="F18" s="521"/>
      <c r="G18" s="520"/>
      <c r="H18" s="522" t="s">
        <v>194</v>
      </c>
      <c r="I18" s="523"/>
      <c r="J18" s="523"/>
      <c r="K18" s="523"/>
      <c r="L18" s="524"/>
      <c r="M18" s="228" t="s">
        <v>195</v>
      </c>
      <c r="N18" s="229" t="s">
        <v>196</v>
      </c>
    </row>
    <row r="19" spans="2:14" ht="8.1" customHeight="1">
      <c r="D19" s="520" t="s">
        <v>180</v>
      </c>
      <c r="E19" s="521"/>
      <c r="F19" s="521"/>
      <c r="G19" s="520"/>
      <c r="H19" s="522" t="s">
        <v>194</v>
      </c>
      <c r="I19" s="523"/>
      <c r="J19" s="523"/>
      <c r="K19" s="523"/>
      <c r="L19" s="524"/>
      <c r="M19" s="228" t="s">
        <v>195</v>
      </c>
      <c r="N19" s="229" t="s">
        <v>196</v>
      </c>
    </row>
    <row r="20" spans="2:14" ht="8.85" customHeight="1">
      <c r="E20" s="520" t="s">
        <v>181</v>
      </c>
      <c r="F20" s="521"/>
      <c r="G20" s="520"/>
      <c r="H20" s="522" t="s">
        <v>197</v>
      </c>
      <c r="I20" s="523"/>
      <c r="J20" s="523"/>
      <c r="K20" s="523"/>
      <c r="L20" s="524"/>
      <c r="M20" s="228" t="s">
        <v>198</v>
      </c>
      <c r="N20" s="229" t="s">
        <v>199</v>
      </c>
    </row>
    <row r="21" spans="2:14" ht="8.85" customHeight="1">
      <c r="E21" s="520" t="s">
        <v>185</v>
      </c>
      <c r="F21" s="521"/>
      <c r="G21" s="520"/>
      <c r="H21" s="522" t="s">
        <v>200</v>
      </c>
      <c r="I21" s="523"/>
      <c r="J21" s="523"/>
      <c r="K21" s="523"/>
      <c r="L21" s="524"/>
      <c r="M21" s="228" t="s">
        <v>201</v>
      </c>
      <c r="N21" s="229" t="s">
        <v>202</v>
      </c>
    </row>
    <row r="22" spans="2:14" ht="8.85" customHeight="1">
      <c r="E22" s="520" t="s">
        <v>189</v>
      </c>
      <c r="F22" s="521"/>
      <c r="G22" s="520"/>
      <c r="H22" s="522" t="s">
        <v>203</v>
      </c>
      <c r="I22" s="523"/>
      <c r="J22" s="523"/>
      <c r="K22" s="523"/>
      <c r="L22" s="524"/>
      <c r="M22" s="228" t="s">
        <v>204</v>
      </c>
      <c r="N22" s="229" t="s">
        <v>205</v>
      </c>
    </row>
    <row r="23" spans="2:14" ht="8.85" customHeight="1">
      <c r="C23" s="520" t="s">
        <v>206</v>
      </c>
      <c r="D23" s="521"/>
      <c r="E23" s="521"/>
      <c r="F23" s="521"/>
      <c r="G23" s="520"/>
      <c r="H23" s="522" t="s">
        <v>207</v>
      </c>
      <c r="I23" s="523"/>
      <c r="J23" s="523"/>
      <c r="K23" s="523"/>
      <c r="L23" s="524"/>
      <c r="M23" s="228" t="s">
        <v>208</v>
      </c>
      <c r="N23" s="229" t="s">
        <v>209</v>
      </c>
    </row>
    <row r="24" spans="2:14" ht="8.85" customHeight="1">
      <c r="D24" s="520" t="s">
        <v>210</v>
      </c>
      <c r="E24" s="521"/>
      <c r="F24" s="521"/>
      <c r="G24" s="520"/>
      <c r="H24" s="522">
        <v>0</v>
      </c>
      <c r="I24" s="523"/>
      <c r="J24" s="523"/>
      <c r="K24" s="523"/>
      <c r="L24" s="524"/>
      <c r="M24" s="228">
        <v>0</v>
      </c>
      <c r="N24" s="229">
        <v>0</v>
      </c>
    </row>
    <row r="25" spans="2:14" ht="8.85" customHeight="1">
      <c r="D25" s="520" t="s">
        <v>211</v>
      </c>
      <c r="E25" s="521"/>
      <c r="F25" s="521"/>
      <c r="G25" s="520"/>
      <c r="H25" s="522" t="s">
        <v>207</v>
      </c>
      <c r="I25" s="523"/>
      <c r="J25" s="523"/>
      <c r="K25" s="523"/>
      <c r="L25" s="524"/>
      <c r="M25" s="228" t="s">
        <v>208</v>
      </c>
      <c r="N25" s="229" t="s">
        <v>209</v>
      </c>
    </row>
    <row r="26" spans="2:14" ht="8.1" customHeight="1">
      <c r="D26" s="520" t="s">
        <v>212</v>
      </c>
      <c r="E26" s="521"/>
      <c r="F26" s="521"/>
      <c r="G26" s="520"/>
      <c r="H26" s="522">
        <v>0</v>
      </c>
      <c r="I26" s="523"/>
      <c r="J26" s="523"/>
      <c r="K26" s="523"/>
      <c r="L26" s="524"/>
      <c r="M26" s="228">
        <v>0</v>
      </c>
      <c r="N26" s="229">
        <v>0</v>
      </c>
    </row>
    <row r="27" spans="2:14" ht="8.85" customHeight="1">
      <c r="C27" s="520" t="s">
        <v>213</v>
      </c>
      <c r="D27" s="521"/>
      <c r="E27" s="521"/>
      <c r="F27" s="521"/>
      <c r="G27" s="520"/>
      <c r="H27" s="522">
        <v>0</v>
      </c>
      <c r="I27" s="523"/>
      <c r="J27" s="523"/>
      <c r="K27" s="523"/>
      <c r="L27" s="524"/>
      <c r="M27" s="228">
        <v>0</v>
      </c>
      <c r="N27" s="229">
        <v>0</v>
      </c>
    </row>
    <row r="28" spans="2:14" ht="8.85" customHeight="1">
      <c r="C28" s="520" t="s">
        <v>214</v>
      </c>
      <c r="D28" s="521"/>
      <c r="E28" s="521"/>
      <c r="F28" s="521"/>
      <c r="G28" s="520"/>
      <c r="H28" s="522" t="s">
        <v>215</v>
      </c>
      <c r="I28" s="523"/>
      <c r="J28" s="523"/>
      <c r="K28" s="523"/>
      <c r="L28" s="524"/>
      <c r="M28" s="228" t="s">
        <v>216</v>
      </c>
      <c r="N28" s="229" t="s">
        <v>217</v>
      </c>
    </row>
    <row r="29" spans="2:14" ht="8.85" customHeight="1">
      <c r="D29" s="520" t="s">
        <v>218</v>
      </c>
      <c r="E29" s="521"/>
      <c r="F29" s="521"/>
      <c r="G29" s="520"/>
      <c r="H29" s="522">
        <v>0</v>
      </c>
      <c r="I29" s="523"/>
      <c r="J29" s="523"/>
      <c r="K29" s="523"/>
      <c r="L29" s="524"/>
      <c r="M29" s="228">
        <v>0</v>
      </c>
      <c r="N29" s="229" t="s">
        <v>219</v>
      </c>
    </row>
    <row r="30" spans="2:14" ht="8.85" customHeight="1">
      <c r="D30" s="520" t="s">
        <v>220</v>
      </c>
      <c r="E30" s="521"/>
      <c r="F30" s="521"/>
      <c r="G30" s="520"/>
      <c r="H30" s="522" t="s">
        <v>215</v>
      </c>
      <c r="I30" s="523"/>
      <c r="J30" s="523"/>
      <c r="K30" s="523"/>
      <c r="L30" s="524"/>
      <c r="M30" s="228" t="s">
        <v>216</v>
      </c>
      <c r="N30" s="229" t="s">
        <v>221</v>
      </c>
    </row>
    <row r="31" spans="2:14" ht="8.1" customHeight="1">
      <c r="D31" s="520" t="s">
        <v>222</v>
      </c>
      <c r="E31" s="521"/>
      <c r="F31" s="521"/>
      <c r="G31" s="520"/>
      <c r="H31" s="522">
        <v>0</v>
      </c>
      <c r="I31" s="523"/>
      <c r="J31" s="523"/>
      <c r="K31" s="523"/>
      <c r="L31" s="524"/>
      <c r="M31" s="228">
        <v>0</v>
      </c>
      <c r="N31" s="229" t="s">
        <v>223</v>
      </c>
    </row>
    <row r="32" spans="2:14" ht="8.85" customHeight="1">
      <c r="B32" s="520" t="s">
        <v>224</v>
      </c>
      <c r="C32" s="521"/>
      <c r="D32" s="521"/>
      <c r="E32" s="521"/>
      <c r="F32" s="521"/>
      <c r="G32" s="520"/>
      <c r="H32" s="522">
        <v>0</v>
      </c>
      <c r="I32" s="523"/>
      <c r="J32" s="523"/>
      <c r="K32" s="523"/>
      <c r="L32" s="524"/>
      <c r="M32" s="228">
        <v>0</v>
      </c>
      <c r="N32" s="229">
        <v>0</v>
      </c>
    </row>
    <row r="33" spans="1:14" ht="8.85" customHeight="1">
      <c r="C33" s="520" t="s">
        <v>225</v>
      </c>
      <c r="D33" s="521"/>
      <c r="E33" s="521"/>
      <c r="F33" s="521"/>
      <c r="G33" s="520"/>
      <c r="H33" s="522">
        <v>0</v>
      </c>
      <c r="I33" s="523"/>
      <c r="J33" s="523"/>
      <c r="K33" s="523"/>
      <c r="L33" s="524"/>
      <c r="M33" s="228">
        <v>0</v>
      </c>
      <c r="N33" s="229">
        <v>0</v>
      </c>
    </row>
    <row r="34" spans="1:14" ht="8.85" customHeight="1">
      <c r="C34" s="520" t="s">
        <v>226</v>
      </c>
      <c r="D34" s="521"/>
      <c r="E34" s="521"/>
      <c r="F34" s="521"/>
      <c r="G34" s="520"/>
      <c r="H34" s="522">
        <v>0</v>
      </c>
      <c r="I34" s="523"/>
      <c r="J34" s="523"/>
      <c r="K34" s="523"/>
      <c r="L34" s="524"/>
      <c r="M34" s="228">
        <v>0</v>
      </c>
      <c r="N34" s="229">
        <v>0</v>
      </c>
    </row>
    <row r="35" spans="1:14" ht="8.85" customHeight="1">
      <c r="A35" s="222"/>
      <c r="B35" s="222"/>
      <c r="C35" s="534" t="s">
        <v>227</v>
      </c>
      <c r="D35" s="535"/>
      <c r="E35" s="535"/>
      <c r="F35" s="535"/>
      <c r="G35" s="534"/>
      <c r="H35" s="536">
        <v>0</v>
      </c>
      <c r="I35" s="537"/>
      <c r="J35" s="537"/>
      <c r="K35" s="537"/>
      <c r="L35" s="538"/>
      <c r="M35" s="230">
        <v>0</v>
      </c>
      <c r="N35" s="231">
        <v>0</v>
      </c>
    </row>
    <row r="36" spans="1:14" ht="8.1" customHeight="1">
      <c r="A36" s="529" t="s">
        <v>228</v>
      </c>
      <c r="B36" s="530"/>
      <c r="C36" s="530"/>
      <c r="D36" s="530"/>
      <c r="E36" s="530"/>
      <c r="F36" s="530"/>
      <c r="G36" s="529"/>
      <c r="H36" s="539" t="s">
        <v>229</v>
      </c>
      <c r="I36" s="540"/>
      <c r="J36" s="540"/>
      <c r="K36" s="540"/>
      <c r="L36" s="541"/>
      <c r="M36" s="232" t="s">
        <v>230</v>
      </c>
      <c r="N36" s="233" t="s">
        <v>231</v>
      </c>
    </row>
    <row r="37" spans="1:14" ht="3" customHeight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</row>
    <row r="38" spans="1:14" ht="8.85" customHeight="1">
      <c r="A38" s="529" t="s">
        <v>232</v>
      </c>
      <c r="B38" s="530"/>
      <c r="C38" s="530"/>
      <c r="D38" s="530"/>
      <c r="E38" s="530"/>
      <c r="F38" s="530"/>
      <c r="G38" s="529"/>
      <c r="H38" s="531" t="s">
        <v>169</v>
      </c>
      <c r="I38" s="532"/>
      <c r="J38" s="532"/>
      <c r="K38" s="532"/>
      <c r="L38" s="533"/>
      <c r="M38" s="223" t="s">
        <v>170</v>
      </c>
      <c r="N38" s="224" t="s">
        <v>171</v>
      </c>
    </row>
    <row r="39" spans="1:14" ht="8.85" customHeight="1">
      <c r="A39" s="225"/>
      <c r="B39" s="515" t="s">
        <v>233</v>
      </c>
      <c r="C39" s="516"/>
      <c r="D39" s="516"/>
      <c r="E39" s="516"/>
      <c r="F39" s="516"/>
      <c r="G39" s="515"/>
      <c r="H39" s="548" t="s">
        <v>234</v>
      </c>
      <c r="I39" s="549"/>
      <c r="J39" s="549"/>
      <c r="K39" s="549"/>
      <c r="L39" s="550"/>
      <c r="M39" s="235" t="s">
        <v>235</v>
      </c>
      <c r="N39" s="236" t="s">
        <v>236</v>
      </c>
    </row>
    <row r="40" spans="1:14" ht="8.85" customHeight="1">
      <c r="C40" s="520" t="s">
        <v>237</v>
      </c>
      <c r="D40" s="521"/>
      <c r="E40" s="521"/>
      <c r="F40" s="521"/>
      <c r="G40" s="520"/>
      <c r="H40" s="542" t="s">
        <v>238</v>
      </c>
      <c r="I40" s="543"/>
      <c r="J40" s="543"/>
      <c r="K40" s="543"/>
      <c r="L40" s="544"/>
      <c r="M40" s="237" t="s">
        <v>239</v>
      </c>
      <c r="N40" s="238" t="s">
        <v>240</v>
      </c>
    </row>
    <row r="41" spans="1:14" ht="8.85" customHeight="1">
      <c r="C41" s="520" t="s">
        <v>241</v>
      </c>
      <c r="D41" s="521"/>
      <c r="E41" s="521"/>
      <c r="F41" s="521"/>
      <c r="G41" s="520"/>
      <c r="H41" s="542" t="s">
        <v>242</v>
      </c>
      <c r="I41" s="543"/>
      <c r="J41" s="543"/>
      <c r="K41" s="543"/>
      <c r="L41" s="544"/>
      <c r="M41" s="237" t="s">
        <v>243</v>
      </c>
      <c r="N41" s="238" t="s">
        <v>244</v>
      </c>
    </row>
    <row r="42" spans="1:14" ht="8.1" customHeight="1">
      <c r="C42" s="520" t="s">
        <v>245</v>
      </c>
      <c r="D42" s="521"/>
      <c r="E42" s="521"/>
      <c r="F42" s="521"/>
      <c r="G42" s="520"/>
      <c r="H42" s="542" t="s">
        <v>246</v>
      </c>
      <c r="I42" s="543"/>
      <c r="J42" s="543"/>
      <c r="K42" s="543"/>
      <c r="L42" s="544"/>
      <c r="M42" s="237" t="s">
        <v>247</v>
      </c>
      <c r="N42" s="238" t="s">
        <v>248</v>
      </c>
    </row>
    <row r="43" spans="1:14" ht="8.1" customHeight="1">
      <c r="C43" s="520" t="s">
        <v>250</v>
      </c>
      <c r="D43" s="521"/>
      <c r="E43" s="521"/>
      <c r="F43" s="521"/>
      <c r="G43" s="520"/>
      <c r="H43" s="542" t="s">
        <v>249</v>
      </c>
      <c r="I43" s="543"/>
      <c r="J43" s="543"/>
      <c r="K43" s="543"/>
      <c r="L43" s="544"/>
      <c r="M43" s="237" t="s">
        <v>249</v>
      </c>
      <c r="N43" s="238" t="s">
        <v>249</v>
      </c>
    </row>
    <row r="44" spans="1:14" ht="8.85" customHeight="1">
      <c r="A44" s="222"/>
      <c r="B44" s="222"/>
      <c r="C44" s="534" t="s">
        <v>251</v>
      </c>
      <c r="D44" s="535"/>
      <c r="E44" s="535"/>
      <c r="F44" s="535"/>
      <c r="G44" s="534"/>
      <c r="H44" s="545" t="s">
        <v>249</v>
      </c>
      <c r="I44" s="546"/>
      <c r="J44" s="546"/>
      <c r="K44" s="546"/>
      <c r="L44" s="547"/>
      <c r="M44" s="239" t="s">
        <v>249</v>
      </c>
      <c r="N44" s="240" t="s">
        <v>249</v>
      </c>
    </row>
    <row r="45" spans="1:14" ht="8.85" customHeight="1">
      <c r="A45" s="529" t="s">
        <v>252</v>
      </c>
      <c r="B45" s="530"/>
      <c r="C45" s="530"/>
      <c r="D45" s="530"/>
      <c r="E45" s="530"/>
      <c r="F45" s="530"/>
      <c r="G45" s="529"/>
      <c r="H45" s="539" t="s">
        <v>234</v>
      </c>
      <c r="I45" s="540"/>
      <c r="J45" s="540"/>
      <c r="K45" s="540"/>
      <c r="L45" s="541"/>
      <c r="M45" s="232" t="s">
        <v>235</v>
      </c>
      <c r="N45" s="233" t="s">
        <v>236</v>
      </c>
    </row>
    <row r="46" spans="1:14" ht="3" customHeight="1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</row>
    <row r="47" spans="1:14" ht="8.85" customHeight="1">
      <c r="A47" s="529" t="s">
        <v>253</v>
      </c>
      <c r="B47" s="530"/>
      <c r="C47" s="530"/>
      <c r="D47" s="530"/>
      <c r="E47" s="530"/>
      <c r="F47" s="530"/>
      <c r="G47" s="529"/>
      <c r="H47" s="539" t="s">
        <v>254</v>
      </c>
      <c r="I47" s="540"/>
      <c r="J47" s="540"/>
      <c r="K47" s="540"/>
      <c r="L47" s="541"/>
      <c r="M47" s="232" t="s">
        <v>255</v>
      </c>
      <c r="N47" s="233" t="s">
        <v>256</v>
      </c>
    </row>
    <row r="48" spans="1:14" ht="3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</row>
    <row r="49" spans="1:14" ht="8.1" customHeight="1">
      <c r="A49" s="529" t="s">
        <v>257</v>
      </c>
      <c r="B49" s="530"/>
      <c r="C49" s="530"/>
      <c r="D49" s="530"/>
      <c r="E49" s="530"/>
      <c r="F49" s="530"/>
      <c r="G49" s="529"/>
      <c r="H49" s="531" t="s">
        <v>169</v>
      </c>
      <c r="I49" s="532"/>
      <c r="J49" s="532"/>
      <c r="K49" s="532"/>
      <c r="L49" s="533"/>
      <c r="M49" s="223" t="s">
        <v>170</v>
      </c>
      <c r="N49" s="224" t="s">
        <v>171</v>
      </c>
    </row>
    <row r="50" spans="1:14" ht="8.85" customHeight="1">
      <c r="A50" s="551" t="s">
        <v>258</v>
      </c>
      <c r="B50" s="552"/>
      <c r="C50" s="552"/>
      <c r="D50" s="552"/>
      <c r="E50" s="552"/>
      <c r="F50" s="552"/>
      <c r="G50" s="551"/>
      <c r="H50" s="553" t="s">
        <v>249</v>
      </c>
      <c r="I50" s="554"/>
      <c r="J50" s="554"/>
      <c r="K50" s="554"/>
      <c r="L50" s="555"/>
      <c r="M50" s="241" t="s">
        <v>249</v>
      </c>
      <c r="N50" s="242" t="s">
        <v>249</v>
      </c>
    </row>
    <row r="51" spans="1:14" ht="3" customHeight="1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</row>
    <row r="52" spans="1:14" ht="8.85" customHeight="1">
      <c r="A52" s="529" t="s">
        <v>259</v>
      </c>
      <c r="B52" s="530"/>
      <c r="C52" s="530"/>
      <c r="D52" s="530"/>
      <c r="E52" s="530"/>
      <c r="F52" s="530"/>
      <c r="G52" s="529"/>
      <c r="H52" s="531" t="s">
        <v>169</v>
      </c>
      <c r="I52" s="532"/>
      <c r="J52" s="532"/>
      <c r="K52" s="532"/>
      <c r="L52" s="533"/>
      <c r="M52" s="223" t="s">
        <v>170</v>
      </c>
      <c r="N52" s="224" t="s">
        <v>171</v>
      </c>
    </row>
    <row r="53" spans="1:14" ht="8.85" customHeight="1">
      <c r="A53" s="551" t="s">
        <v>258</v>
      </c>
      <c r="B53" s="552"/>
      <c r="C53" s="552"/>
      <c r="D53" s="552"/>
      <c r="E53" s="552"/>
      <c r="F53" s="552"/>
      <c r="G53" s="551"/>
      <c r="H53" s="553" t="s">
        <v>260</v>
      </c>
      <c r="I53" s="554"/>
      <c r="J53" s="554"/>
      <c r="K53" s="554"/>
      <c r="L53" s="555"/>
      <c r="M53" s="241" t="s">
        <v>260</v>
      </c>
      <c r="N53" s="242" t="s">
        <v>261</v>
      </c>
    </row>
    <row r="54" spans="1:14" ht="3" customHeight="1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</row>
    <row r="55" spans="1:14" ht="3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8.85" customHeight="1">
      <c r="A56" s="529" t="s">
        <v>262</v>
      </c>
      <c r="B56" s="530"/>
      <c r="C56" s="530"/>
      <c r="D56" s="530"/>
      <c r="E56" s="530"/>
      <c r="F56" s="530"/>
      <c r="G56" s="529"/>
      <c r="H56" s="531" t="s">
        <v>169</v>
      </c>
      <c r="I56" s="532"/>
      <c r="J56" s="532"/>
      <c r="K56" s="532"/>
      <c r="L56" s="533"/>
      <c r="M56" s="223" t="s">
        <v>170</v>
      </c>
      <c r="N56" s="224" t="s">
        <v>171</v>
      </c>
    </row>
    <row r="57" spans="1:14" ht="8.1" customHeight="1">
      <c r="A57" s="225"/>
      <c r="B57" s="515" t="s">
        <v>263</v>
      </c>
      <c r="C57" s="516"/>
      <c r="D57" s="516"/>
      <c r="E57" s="516"/>
      <c r="F57" s="516"/>
      <c r="G57" s="515"/>
      <c r="H57" s="548" t="s">
        <v>249</v>
      </c>
      <c r="I57" s="549"/>
      <c r="J57" s="549"/>
      <c r="K57" s="549"/>
      <c r="L57" s="550"/>
      <c r="M57" s="235" t="s">
        <v>249</v>
      </c>
      <c r="N57" s="236" t="s">
        <v>249</v>
      </c>
    </row>
    <row r="58" spans="1:14" ht="8.85" customHeight="1">
      <c r="B58" s="520" t="s">
        <v>264</v>
      </c>
      <c r="C58" s="521"/>
      <c r="D58" s="521"/>
      <c r="E58" s="521"/>
      <c r="F58" s="521"/>
      <c r="G58" s="520"/>
      <c r="H58" s="542" t="s">
        <v>249</v>
      </c>
      <c r="I58" s="543"/>
      <c r="J58" s="543"/>
      <c r="K58" s="543"/>
      <c r="L58" s="544"/>
      <c r="M58" s="237" t="s">
        <v>249</v>
      </c>
      <c r="N58" s="238" t="s">
        <v>249</v>
      </c>
    </row>
    <row r="59" spans="1:14" ht="8.85" customHeight="1">
      <c r="B59" s="520" t="s">
        <v>265</v>
      </c>
      <c r="C59" s="521"/>
      <c r="D59" s="521"/>
      <c r="E59" s="521"/>
      <c r="F59" s="521"/>
      <c r="G59" s="520"/>
      <c r="H59" s="542" t="s">
        <v>249</v>
      </c>
      <c r="I59" s="543"/>
      <c r="J59" s="543"/>
      <c r="K59" s="543"/>
      <c r="L59" s="544"/>
      <c r="M59" s="237" t="s">
        <v>249</v>
      </c>
      <c r="N59" s="238" t="s">
        <v>249</v>
      </c>
    </row>
    <row r="60" spans="1:14" ht="8.85" customHeight="1">
      <c r="A60" s="222"/>
      <c r="B60" s="534" t="s">
        <v>266</v>
      </c>
      <c r="C60" s="535"/>
      <c r="D60" s="535"/>
      <c r="E60" s="535"/>
      <c r="F60" s="535"/>
      <c r="G60" s="534"/>
      <c r="H60" s="545" t="s">
        <v>249</v>
      </c>
      <c r="I60" s="546"/>
      <c r="J60" s="546"/>
      <c r="K60" s="546"/>
      <c r="L60" s="547"/>
      <c r="M60" s="239" t="s">
        <v>249</v>
      </c>
      <c r="N60" s="240" t="s">
        <v>249</v>
      </c>
    </row>
    <row r="61" spans="1:14" ht="3" customHeight="1">
      <c r="A61" s="556"/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</row>
    <row r="62" spans="1:14" ht="8.85" customHeight="1">
      <c r="A62" s="529" t="s">
        <v>267</v>
      </c>
      <c r="B62" s="530"/>
      <c r="C62" s="530"/>
      <c r="D62" s="530"/>
      <c r="E62" s="530"/>
      <c r="F62" s="530"/>
      <c r="G62" s="529"/>
      <c r="H62" s="531" t="s">
        <v>169</v>
      </c>
      <c r="I62" s="532"/>
      <c r="J62" s="532"/>
      <c r="K62" s="532"/>
      <c r="L62" s="533"/>
      <c r="M62" s="223" t="s">
        <v>170</v>
      </c>
      <c r="N62" s="224" t="s">
        <v>171</v>
      </c>
    </row>
    <row r="63" spans="1:14" ht="8.1" customHeight="1">
      <c r="A63" s="225"/>
      <c r="B63" s="515" t="s">
        <v>268</v>
      </c>
      <c r="C63" s="516"/>
      <c r="D63" s="516"/>
      <c r="E63" s="516"/>
      <c r="F63" s="516"/>
      <c r="G63" s="515"/>
      <c r="H63" s="517" t="s">
        <v>269</v>
      </c>
      <c r="I63" s="518"/>
      <c r="J63" s="518"/>
      <c r="K63" s="518"/>
      <c r="L63" s="519"/>
      <c r="M63" s="226" t="s">
        <v>270</v>
      </c>
      <c r="N63" s="227" t="s">
        <v>271</v>
      </c>
    </row>
    <row r="64" spans="1:14" ht="8.85" customHeight="1">
      <c r="B64" s="520" t="s">
        <v>272</v>
      </c>
      <c r="C64" s="521"/>
      <c r="D64" s="521"/>
      <c r="E64" s="521"/>
      <c r="F64" s="521"/>
      <c r="G64" s="520"/>
      <c r="H64" s="522" t="s">
        <v>273</v>
      </c>
      <c r="I64" s="523"/>
      <c r="J64" s="523"/>
      <c r="K64" s="523"/>
      <c r="L64" s="524"/>
      <c r="M64" s="228" t="s">
        <v>274</v>
      </c>
      <c r="N64" s="229" t="s">
        <v>275</v>
      </c>
    </row>
    <row r="65" spans="1:14" ht="8.85" customHeight="1">
      <c r="A65" s="222"/>
      <c r="B65" s="534" t="s">
        <v>276</v>
      </c>
      <c r="C65" s="535"/>
      <c r="D65" s="535"/>
      <c r="E65" s="535"/>
      <c r="F65" s="535"/>
      <c r="G65" s="534"/>
      <c r="H65" s="536" t="s">
        <v>277</v>
      </c>
      <c r="I65" s="537"/>
      <c r="J65" s="537"/>
      <c r="K65" s="537"/>
      <c r="L65" s="538"/>
      <c r="M65" s="230" t="s">
        <v>278</v>
      </c>
      <c r="N65" s="231" t="s">
        <v>279</v>
      </c>
    </row>
    <row r="66" spans="1:14" ht="11.85" customHeight="1">
      <c r="A66" s="557"/>
      <c r="B66" s="557"/>
      <c r="C66" s="557"/>
      <c r="D66" s="557"/>
      <c r="E66" s="557"/>
      <c r="F66" s="557"/>
      <c r="G66" s="557"/>
      <c r="H66" s="557"/>
      <c r="I66" s="557"/>
      <c r="J66" s="557"/>
      <c r="K66" s="557"/>
      <c r="L66" s="557"/>
      <c r="M66" s="557"/>
      <c r="N66" s="557"/>
    </row>
    <row r="67" spans="1:14" ht="3" customHeight="1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</row>
    <row r="68" spans="1:14" ht="3" customHeight="1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</row>
    <row r="69" spans="1:14" ht="8.85" customHeight="1">
      <c r="A69" s="529" t="s">
        <v>281</v>
      </c>
      <c r="B69" s="530"/>
      <c r="C69" s="530"/>
      <c r="D69" s="530"/>
      <c r="E69" s="530"/>
      <c r="F69" s="530"/>
      <c r="G69" s="529"/>
      <c r="H69" s="531" t="s">
        <v>169</v>
      </c>
      <c r="I69" s="532"/>
      <c r="J69" s="532"/>
      <c r="K69" s="532"/>
      <c r="L69" s="533"/>
      <c r="M69" s="223" t="s">
        <v>170</v>
      </c>
      <c r="N69" s="224" t="s">
        <v>171</v>
      </c>
    </row>
    <row r="70" spans="1:14" ht="8.85" customHeight="1">
      <c r="A70" s="225"/>
      <c r="B70" s="515" t="s">
        <v>282</v>
      </c>
      <c r="C70" s="516"/>
      <c r="D70" s="516"/>
      <c r="E70" s="516"/>
      <c r="F70" s="516"/>
      <c r="G70" s="515"/>
      <c r="H70" s="548" t="s">
        <v>249</v>
      </c>
      <c r="I70" s="549"/>
      <c r="J70" s="549"/>
      <c r="K70" s="549"/>
      <c r="L70" s="550"/>
      <c r="M70" s="235" t="s">
        <v>249</v>
      </c>
      <c r="N70" s="236" t="s">
        <v>249</v>
      </c>
    </row>
    <row r="71" spans="1:14" ht="8.1" customHeight="1">
      <c r="A71" s="222"/>
      <c r="B71" s="534" t="s">
        <v>283</v>
      </c>
      <c r="C71" s="535"/>
      <c r="D71" s="535"/>
      <c r="E71" s="535"/>
      <c r="F71" s="535"/>
      <c r="G71" s="534"/>
      <c r="H71" s="545" t="s">
        <v>284</v>
      </c>
      <c r="I71" s="546"/>
      <c r="J71" s="546"/>
      <c r="K71" s="546"/>
      <c r="L71" s="547"/>
      <c r="M71" s="239" t="s">
        <v>285</v>
      </c>
      <c r="N71" s="240" t="s">
        <v>286</v>
      </c>
    </row>
    <row r="72" spans="1:14" ht="8.85" customHeight="1">
      <c r="A72" s="529" t="s">
        <v>287</v>
      </c>
      <c r="B72" s="530"/>
      <c r="C72" s="530"/>
      <c r="D72" s="530"/>
      <c r="E72" s="530"/>
      <c r="F72" s="530"/>
      <c r="G72" s="529"/>
      <c r="H72" s="539" t="s">
        <v>284</v>
      </c>
      <c r="I72" s="540"/>
      <c r="J72" s="540"/>
      <c r="K72" s="540"/>
      <c r="L72" s="541"/>
      <c r="M72" s="232" t="s">
        <v>285</v>
      </c>
      <c r="N72" s="233" t="s">
        <v>286</v>
      </c>
    </row>
    <row r="73" spans="1:14" ht="3" customHeight="1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</row>
    <row r="74" spans="1:14" ht="8.85" customHeight="1">
      <c r="A74" s="529" t="s">
        <v>288</v>
      </c>
      <c r="B74" s="530"/>
      <c r="C74" s="530"/>
      <c r="D74" s="530"/>
      <c r="E74" s="530"/>
      <c r="F74" s="530"/>
      <c r="G74" s="529"/>
      <c r="H74" s="539" t="s">
        <v>289</v>
      </c>
      <c r="I74" s="540"/>
      <c r="J74" s="540"/>
      <c r="K74" s="540"/>
      <c r="L74" s="541"/>
      <c r="M74" s="232" t="s">
        <v>290</v>
      </c>
      <c r="N74" s="233" t="s">
        <v>291</v>
      </c>
    </row>
    <row r="75" spans="1:14" ht="3" customHeight="1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</row>
    <row r="76" spans="1:14" ht="5.85" customHeight="1">
      <c r="A76" s="557"/>
      <c r="B76" s="557"/>
      <c r="C76" s="557"/>
      <c r="D76" s="557"/>
      <c r="E76" s="557"/>
      <c r="F76" s="557"/>
      <c r="G76" s="557"/>
      <c r="H76" s="557"/>
      <c r="I76" s="557"/>
      <c r="J76" s="557"/>
      <c r="K76" s="557"/>
      <c r="L76" s="557"/>
      <c r="M76" s="557"/>
      <c r="N76" s="557"/>
    </row>
    <row r="77" spans="1:14" ht="14.1" customHeight="1"/>
    <row r="78" spans="1:14" ht="43.7" customHeight="1">
      <c r="A78" s="558" t="s">
        <v>292</v>
      </c>
      <c r="B78" s="558"/>
      <c r="C78" s="558"/>
      <c r="D78" s="558"/>
      <c r="E78" s="558"/>
      <c r="F78" s="558"/>
      <c r="G78" s="558"/>
      <c r="H78" s="558"/>
      <c r="I78" s="558"/>
      <c r="J78" s="558"/>
      <c r="K78" s="558"/>
      <c r="L78" s="558"/>
      <c r="M78" s="558"/>
      <c r="N78" s="558"/>
    </row>
    <row r="79" spans="1:14" ht="5.85" customHeight="1"/>
    <row r="80" spans="1:14" ht="11.85" customHeight="1"/>
    <row r="81" spans="1:14" ht="11.85" customHeight="1"/>
    <row r="82" spans="1:14" ht="11.85" customHeight="1"/>
    <row r="83" spans="1:14" ht="17.850000000000001" customHeight="1"/>
    <row r="84" spans="1:14" ht="11.1" customHeight="1"/>
    <row r="85" spans="1:14" ht="8.85" customHeight="1">
      <c r="A85" s="559" t="s">
        <v>280</v>
      </c>
      <c r="B85" s="559"/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</row>
  </sheetData>
  <mergeCells count="121">
    <mergeCell ref="A76:N76"/>
    <mergeCell ref="A78:N78"/>
    <mergeCell ref="A85:N85"/>
    <mergeCell ref="B71:G71"/>
    <mergeCell ref="H71:L71"/>
    <mergeCell ref="A72:G72"/>
    <mergeCell ref="H72:L72"/>
    <mergeCell ref="A74:G74"/>
    <mergeCell ref="H74:L74"/>
    <mergeCell ref="A69:G69"/>
    <mergeCell ref="H69:L69"/>
    <mergeCell ref="B70:G70"/>
    <mergeCell ref="H70:L70"/>
    <mergeCell ref="A66:N66"/>
    <mergeCell ref="B63:G63"/>
    <mergeCell ref="H63:L63"/>
    <mergeCell ref="B64:G64"/>
    <mergeCell ref="H64:L64"/>
    <mergeCell ref="B65:G65"/>
    <mergeCell ref="H65:L65"/>
    <mergeCell ref="B59:G59"/>
    <mergeCell ref="H59:L59"/>
    <mergeCell ref="B60:G60"/>
    <mergeCell ref="H60:L60"/>
    <mergeCell ref="A61:N61"/>
    <mergeCell ref="A62:G62"/>
    <mergeCell ref="H62:L62"/>
    <mergeCell ref="A56:G56"/>
    <mergeCell ref="H56:L56"/>
    <mergeCell ref="B57:G57"/>
    <mergeCell ref="H57:L57"/>
    <mergeCell ref="B58:G58"/>
    <mergeCell ref="H58:L58"/>
    <mergeCell ref="A50:G50"/>
    <mergeCell ref="H50:L50"/>
    <mergeCell ref="A52:G52"/>
    <mergeCell ref="H52:L52"/>
    <mergeCell ref="A53:G53"/>
    <mergeCell ref="H53:L53"/>
    <mergeCell ref="A45:G45"/>
    <mergeCell ref="H45:L45"/>
    <mergeCell ref="A47:G47"/>
    <mergeCell ref="H47:L47"/>
    <mergeCell ref="A49:G49"/>
    <mergeCell ref="H49:L49"/>
    <mergeCell ref="C43:G43"/>
    <mergeCell ref="H43:L43"/>
    <mergeCell ref="C44:G44"/>
    <mergeCell ref="H44:L44"/>
    <mergeCell ref="C41:G41"/>
    <mergeCell ref="H41:L41"/>
    <mergeCell ref="C42:G42"/>
    <mergeCell ref="H42:L42"/>
    <mergeCell ref="A38:G38"/>
    <mergeCell ref="H38:L38"/>
    <mergeCell ref="B39:G39"/>
    <mergeCell ref="H39:L39"/>
    <mergeCell ref="C40:G40"/>
    <mergeCell ref="H40:L40"/>
    <mergeCell ref="C34:G34"/>
    <mergeCell ref="H34:L34"/>
    <mergeCell ref="C35:G35"/>
    <mergeCell ref="H35:L35"/>
    <mergeCell ref="A36:G36"/>
    <mergeCell ref="H36:L36"/>
    <mergeCell ref="D31:G31"/>
    <mergeCell ref="H31:L31"/>
    <mergeCell ref="B32:G32"/>
    <mergeCell ref="H32:L32"/>
    <mergeCell ref="C33:G33"/>
    <mergeCell ref="H33:L33"/>
    <mergeCell ref="D29:G29"/>
    <mergeCell ref="H29:L29"/>
    <mergeCell ref="D30:G30"/>
    <mergeCell ref="H30:L30"/>
    <mergeCell ref="D25:G25"/>
    <mergeCell ref="H25:L25"/>
    <mergeCell ref="D26:G26"/>
    <mergeCell ref="H26:L26"/>
    <mergeCell ref="C27:G27"/>
    <mergeCell ref="H27:L27"/>
    <mergeCell ref="D24:G24"/>
    <mergeCell ref="H24:L24"/>
    <mergeCell ref="E20:G20"/>
    <mergeCell ref="H20:L20"/>
    <mergeCell ref="E21:G21"/>
    <mergeCell ref="H21:L21"/>
    <mergeCell ref="E22:G22"/>
    <mergeCell ref="H22:L22"/>
    <mergeCell ref="C28:G28"/>
    <mergeCell ref="H28:L28"/>
    <mergeCell ref="D19:G19"/>
    <mergeCell ref="H19:L19"/>
    <mergeCell ref="E15:G15"/>
    <mergeCell ref="H15:L15"/>
    <mergeCell ref="E16:G16"/>
    <mergeCell ref="H16:L16"/>
    <mergeCell ref="E17:G17"/>
    <mergeCell ref="H17:L17"/>
    <mergeCell ref="C23:G23"/>
    <mergeCell ref="H23:L23"/>
    <mergeCell ref="D14:G14"/>
    <mergeCell ref="H14:L14"/>
    <mergeCell ref="A8:E8"/>
    <mergeCell ref="G8:N8"/>
    <mergeCell ref="A9:N9"/>
    <mergeCell ref="A10:N10"/>
    <mergeCell ref="A11:G11"/>
    <mergeCell ref="H11:L11"/>
    <mergeCell ref="C18:G18"/>
    <mergeCell ref="H18:L18"/>
    <mergeCell ref="M1:N1"/>
    <mergeCell ref="A3:N3"/>
    <mergeCell ref="A4:N4"/>
    <mergeCell ref="A5:N5"/>
    <mergeCell ref="A6:N6"/>
    <mergeCell ref="A7:N7"/>
    <mergeCell ref="B12:G12"/>
    <mergeCell ref="H12:L12"/>
    <mergeCell ref="C13:G13"/>
    <mergeCell ref="H13:L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3" workbookViewId="0">
      <selection activeCell="B25" sqref="B25"/>
    </sheetView>
  </sheetViews>
  <sheetFormatPr defaultRowHeight="15"/>
  <cols>
    <col min="1" max="1" width="37.42578125" customWidth="1"/>
    <col min="2" max="2" width="28.7109375" bestFit="1" customWidth="1"/>
    <col min="257" max="257" width="37.42578125" customWidth="1"/>
    <col min="258" max="258" width="28.7109375" bestFit="1" customWidth="1"/>
    <col min="513" max="513" width="37.42578125" customWidth="1"/>
    <col min="514" max="514" width="28.7109375" bestFit="1" customWidth="1"/>
    <col min="769" max="769" width="37.42578125" customWidth="1"/>
    <col min="770" max="770" width="28.7109375" bestFit="1" customWidth="1"/>
    <col min="1025" max="1025" width="37.42578125" customWidth="1"/>
    <col min="1026" max="1026" width="28.7109375" bestFit="1" customWidth="1"/>
    <col min="1281" max="1281" width="37.42578125" customWidth="1"/>
    <col min="1282" max="1282" width="28.7109375" bestFit="1" customWidth="1"/>
    <col min="1537" max="1537" width="37.42578125" customWidth="1"/>
    <col min="1538" max="1538" width="28.7109375" bestFit="1" customWidth="1"/>
    <col min="1793" max="1793" width="37.42578125" customWidth="1"/>
    <col min="1794" max="1794" width="28.7109375" bestFit="1" customWidth="1"/>
    <col min="2049" max="2049" width="37.42578125" customWidth="1"/>
    <col min="2050" max="2050" width="28.7109375" bestFit="1" customWidth="1"/>
    <col min="2305" max="2305" width="37.42578125" customWidth="1"/>
    <col min="2306" max="2306" width="28.7109375" bestFit="1" customWidth="1"/>
    <col min="2561" max="2561" width="37.42578125" customWidth="1"/>
    <col min="2562" max="2562" width="28.7109375" bestFit="1" customWidth="1"/>
    <col min="2817" max="2817" width="37.42578125" customWidth="1"/>
    <col min="2818" max="2818" width="28.7109375" bestFit="1" customWidth="1"/>
    <col min="3073" max="3073" width="37.42578125" customWidth="1"/>
    <col min="3074" max="3074" width="28.7109375" bestFit="1" customWidth="1"/>
    <col min="3329" max="3329" width="37.42578125" customWidth="1"/>
    <col min="3330" max="3330" width="28.7109375" bestFit="1" customWidth="1"/>
    <col min="3585" max="3585" width="37.42578125" customWidth="1"/>
    <col min="3586" max="3586" width="28.7109375" bestFit="1" customWidth="1"/>
    <col min="3841" max="3841" width="37.42578125" customWidth="1"/>
    <col min="3842" max="3842" width="28.7109375" bestFit="1" customWidth="1"/>
    <col min="4097" max="4097" width="37.42578125" customWidth="1"/>
    <col min="4098" max="4098" width="28.7109375" bestFit="1" customWidth="1"/>
    <col min="4353" max="4353" width="37.42578125" customWidth="1"/>
    <col min="4354" max="4354" width="28.7109375" bestFit="1" customWidth="1"/>
    <col min="4609" max="4609" width="37.42578125" customWidth="1"/>
    <col min="4610" max="4610" width="28.7109375" bestFit="1" customWidth="1"/>
    <col min="4865" max="4865" width="37.42578125" customWidth="1"/>
    <col min="4866" max="4866" width="28.7109375" bestFit="1" customWidth="1"/>
    <col min="5121" max="5121" width="37.42578125" customWidth="1"/>
    <col min="5122" max="5122" width="28.7109375" bestFit="1" customWidth="1"/>
    <col min="5377" max="5377" width="37.42578125" customWidth="1"/>
    <col min="5378" max="5378" width="28.7109375" bestFit="1" customWidth="1"/>
    <col min="5633" max="5633" width="37.42578125" customWidth="1"/>
    <col min="5634" max="5634" width="28.7109375" bestFit="1" customWidth="1"/>
    <col min="5889" max="5889" width="37.42578125" customWidth="1"/>
    <col min="5890" max="5890" width="28.7109375" bestFit="1" customWidth="1"/>
    <col min="6145" max="6145" width="37.42578125" customWidth="1"/>
    <col min="6146" max="6146" width="28.7109375" bestFit="1" customWidth="1"/>
    <col min="6401" max="6401" width="37.42578125" customWidth="1"/>
    <col min="6402" max="6402" width="28.7109375" bestFit="1" customWidth="1"/>
    <col min="6657" max="6657" width="37.42578125" customWidth="1"/>
    <col min="6658" max="6658" width="28.7109375" bestFit="1" customWidth="1"/>
    <col min="6913" max="6913" width="37.42578125" customWidth="1"/>
    <col min="6914" max="6914" width="28.7109375" bestFit="1" customWidth="1"/>
    <col min="7169" max="7169" width="37.42578125" customWidth="1"/>
    <col min="7170" max="7170" width="28.7109375" bestFit="1" customWidth="1"/>
    <col min="7425" max="7425" width="37.42578125" customWidth="1"/>
    <col min="7426" max="7426" width="28.7109375" bestFit="1" customWidth="1"/>
    <col min="7681" max="7681" width="37.42578125" customWidth="1"/>
    <col min="7682" max="7682" width="28.7109375" bestFit="1" customWidth="1"/>
    <col min="7937" max="7937" width="37.42578125" customWidth="1"/>
    <col min="7938" max="7938" width="28.7109375" bestFit="1" customWidth="1"/>
    <col min="8193" max="8193" width="37.42578125" customWidth="1"/>
    <col min="8194" max="8194" width="28.7109375" bestFit="1" customWidth="1"/>
    <col min="8449" max="8449" width="37.42578125" customWidth="1"/>
    <col min="8450" max="8450" width="28.7109375" bestFit="1" customWidth="1"/>
    <col min="8705" max="8705" width="37.42578125" customWidth="1"/>
    <col min="8706" max="8706" width="28.7109375" bestFit="1" customWidth="1"/>
    <col min="8961" max="8961" width="37.42578125" customWidth="1"/>
    <col min="8962" max="8962" width="28.7109375" bestFit="1" customWidth="1"/>
    <col min="9217" max="9217" width="37.42578125" customWidth="1"/>
    <col min="9218" max="9218" width="28.7109375" bestFit="1" customWidth="1"/>
    <col min="9473" max="9473" width="37.42578125" customWidth="1"/>
    <col min="9474" max="9474" width="28.7109375" bestFit="1" customWidth="1"/>
    <col min="9729" max="9729" width="37.42578125" customWidth="1"/>
    <col min="9730" max="9730" width="28.7109375" bestFit="1" customWidth="1"/>
    <col min="9985" max="9985" width="37.42578125" customWidth="1"/>
    <col min="9986" max="9986" width="28.7109375" bestFit="1" customWidth="1"/>
    <col min="10241" max="10241" width="37.42578125" customWidth="1"/>
    <col min="10242" max="10242" width="28.7109375" bestFit="1" customWidth="1"/>
    <col min="10497" max="10497" width="37.42578125" customWidth="1"/>
    <col min="10498" max="10498" width="28.7109375" bestFit="1" customWidth="1"/>
    <col min="10753" max="10753" width="37.42578125" customWidth="1"/>
    <col min="10754" max="10754" width="28.7109375" bestFit="1" customWidth="1"/>
    <col min="11009" max="11009" width="37.42578125" customWidth="1"/>
    <col min="11010" max="11010" width="28.7109375" bestFit="1" customWidth="1"/>
    <col min="11265" max="11265" width="37.42578125" customWidth="1"/>
    <col min="11266" max="11266" width="28.7109375" bestFit="1" customWidth="1"/>
    <col min="11521" max="11521" width="37.42578125" customWidth="1"/>
    <col min="11522" max="11522" width="28.7109375" bestFit="1" customWidth="1"/>
    <col min="11777" max="11777" width="37.42578125" customWidth="1"/>
    <col min="11778" max="11778" width="28.7109375" bestFit="1" customWidth="1"/>
    <col min="12033" max="12033" width="37.42578125" customWidth="1"/>
    <col min="12034" max="12034" width="28.7109375" bestFit="1" customWidth="1"/>
    <col min="12289" max="12289" width="37.42578125" customWidth="1"/>
    <col min="12290" max="12290" width="28.7109375" bestFit="1" customWidth="1"/>
    <col min="12545" max="12545" width="37.42578125" customWidth="1"/>
    <col min="12546" max="12546" width="28.7109375" bestFit="1" customWidth="1"/>
    <col min="12801" max="12801" width="37.42578125" customWidth="1"/>
    <col min="12802" max="12802" width="28.7109375" bestFit="1" customWidth="1"/>
    <col min="13057" max="13057" width="37.42578125" customWidth="1"/>
    <col min="13058" max="13058" width="28.7109375" bestFit="1" customWidth="1"/>
    <col min="13313" max="13313" width="37.42578125" customWidth="1"/>
    <col min="13314" max="13314" width="28.7109375" bestFit="1" customWidth="1"/>
    <col min="13569" max="13569" width="37.42578125" customWidth="1"/>
    <col min="13570" max="13570" width="28.7109375" bestFit="1" customWidth="1"/>
    <col min="13825" max="13825" width="37.42578125" customWidth="1"/>
    <col min="13826" max="13826" width="28.7109375" bestFit="1" customWidth="1"/>
    <col min="14081" max="14081" width="37.42578125" customWidth="1"/>
    <col min="14082" max="14082" width="28.7109375" bestFit="1" customWidth="1"/>
    <col min="14337" max="14337" width="37.42578125" customWidth="1"/>
    <col min="14338" max="14338" width="28.7109375" bestFit="1" customWidth="1"/>
    <col min="14593" max="14593" width="37.42578125" customWidth="1"/>
    <col min="14594" max="14594" width="28.7109375" bestFit="1" customWidth="1"/>
    <col min="14849" max="14849" width="37.42578125" customWidth="1"/>
    <col min="14850" max="14850" width="28.7109375" bestFit="1" customWidth="1"/>
    <col min="15105" max="15105" width="37.42578125" customWidth="1"/>
    <col min="15106" max="15106" width="28.7109375" bestFit="1" customWidth="1"/>
    <col min="15361" max="15361" width="37.42578125" customWidth="1"/>
    <col min="15362" max="15362" width="28.7109375" bestFit="1" customWidth="1"/>
    <col min="15617" max="15617" width="37.42578125" customWidth="1"/>
    <col min="15618" max="15618" width="28.7109375" bestFit="1" customWidth="1"/>
    <col min="15873" max="15873" width="37.42578125" customWidth="1"/>
    <col min="15874" max="15874" width="28.7109375" bestFit="1" customWidth="1"/>
    <col min="16129" max="16129" width="37.42578125" customWidth="1"/>
    <col min="16130" max="16130" width="28.7109375" bestFit="1" customWidth="1"/>
  </cols>
  <sheetData>
    <row r="1" spans="1:2">
      <c r="A1" s="88" t="s">
        <v>302</v>
      </c>
      <c r="B1" s="1"/>
    </row>
    <row r="2" spans="1:2" ht="15.75">
      <c r="A2" s="461" t="s">
        <v>295</v>
      </c>
      <c r="B2" s="463"/>
    </row>
    <row r="3" spans="1:2">
      <c r="A3" s="446" t="s">
        <v>0</v>
      </c>
      <c r="B3" s="448"/>
    </row>
    <row r="4" spans="1:2">
      <c r="A4" s="446" t="s">
        <v>160</v>
      </c>
      <c r="B4" s="448"/>
    </row>
    <row r="5" spans="1:2">
      <c r="A5" s="464"/>
      <c r="B5" s="448"/>
    </row>
    <row r="6" spans="1:2">
      <c r="A6" s="418" t="s">
        <v>534</v>
      </c>
      <c r="B6" s="419"/>
    </row>
    <row r="7" spans="1:2">
      <c r="A7" s="446" t="s">
        <v>126</v>
      </c>
      <c r="B7" s="448"/>
    </row>
    <row r="8" spans="1:2">
      <c r="A8" s="446"/>
      <c r="B8" s="448"/>
    </row>
    <row r="9" spans="1:2">
      <c r="A9" s="89" t="s">
        <v>61</v>
      </c>
      <c r="B9" s="19">
        <v>1</v>
      </c>
    </row>
    <row r="10" spans="1:2">
      <c r="A10" s="480" t="s">
        <v>62</v>
      </c>
      <c r="B10" s="561" t="s">
        <v>139</v>
      </c>
    </row>
    <row r="11" spans="1:2">
      <c r="A11" s="560"/>
      <c r="B11" s="499"/>
    </row>
    <row r="12" spans="1:2" ht="15.75">
      <c r="A12" s="90" t="s">
        <v>63</v>
      </c>
      <c r="B12" s="91">
        <f>III_AoAno!I12-III_AoAno!G12</f>
        <v>1667034.4300000072</v>
      </c>
    </row>
    <row r="13" spans="1:2" ht="15.75">
      <c r="A13" s="90" t="s">
        <v>64</v>
      </c>
      <c r="B13" s="92"/>
    </row>
    <row r="14" spans="1:2" ht="15.75">
      <c r="A14" s="93" t="s">
        <v>65</v>
      </c>
      <c r="B14" s="94">
        <f>[1]Seduc!J35-[1]Seduc!H35</f>
        <v>0</v>
      </c>
    </row>
    <row r="15" spans="1:2" ht="15.75">
      <c r="A15" s="93" t="s">
        <v>66</v>
      </c>
      <c r="B15" s="95">
        <f>B12-SUM(B13:B14)</f>
        <v>1667034.4300000072</v>
      </c>
    </row>
    <row r="16" spans="1:2" ht="15.75">
      <c r="A16" s="93" t="s">
        <v>67</v>
      </c>
      <c r="B16" s="94"/>
    </row>
    <row r="17" spans="1:11" ht="15.75">
      <c r="A17" s="93" t="s">
        <v>68</v>
      </c>
      <c r="B17" s="95">
        <f>B15-B16</f>
        <v>1667034.4300000072</v>
      </c>
    </row>
    <row r="18" spans="1:11" ht="15.75">
      <c r="A18" s="90" t="s">
        <v>69</v>
      </c>
      <c r="B18" s="91">
        <f>SUM(B19:B20)</f>
        <v>12813636.560000017</v>
      </c>
    </row>
    <row r="19" spans="1:11" ht="15.75">
      <c r="A19" s="90" t="s">
        <v>70</v>
      </c>
      <c r="B19" s="96">
        <f>III_AoAno!I14-III_AoAno!G14</f>
        <v>12813636.560000017</v>
      </c>
    </row>
    <row r="20" spans="1:11" ht="15.75">
      <c r="A20" s="93" t="s">
        <v>71</v>
      </c>
      <c r="B20" s="97"/>
    </row>
    <row r="21" spans="1:11" ht="15.75">
      <c r="A21" s="93" t="s">
        <v>72</v>
      </c>
      <c r="B21" s="98" t="str">
        <f>IF(B17-B18&gt;=0,B17-B18,"SEM MARGEM")</f>
        <v>SEM MARGEM</v>
      </c>
    </row>
    <row r="22" spans="1:11">
      <c r="A22" s="445" t="s">
        <v>129</v>
      </c>
      <c r="B22" s="445"/>
    </row>
    <row r="29" spans="1:11">
      <c r="A29" s="18" t="s">
        <v>25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>
      <c r="A30" s="18" t="s">
        <v>24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s="42" customFormat="1" ht="11.25">
      <c r="A31" s="562"/>
      <c r="B31" s="562"/>
      <c r="C31" s="562"/>
      <c r="D31" s="562"/>
      <c r="E31" s="562"/>
      <c r="F31" s="562"/>
      <c r="G31" s="562"/>
      <c r="H31" s="562"/>
      <c r="I31" s="562"/>
      <c r="J31" s="562"/>
      <c r="K31" s="562"/>
    </row>
    <row r="34" spans="1:1">
      <c r="A34" s="99" t="s">
        <v>73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</sheetData>
  <mergeCells count="10">
    <mergeCell ref="A7:B7"/>
    <mergeCell ref="A2:B2"/>
    <mergeCell ref="A3:B3"/>
    <mergeCell ref="A4:B4"/>
    <mergeCell ref="A5:B5"/>
    <mergeCell ref="A8:B8"/>
    <mergeCell ref="A10:A11"/>
    <mergeCell ref="B10:B11"/>
    <mergeCell ref="A22:B22"/>
    <mergeCell ref="A31:K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11" workbookViewId="0">
      <selection activeCell="B32" sqref="B32"/>
    </sheetView>
  </sheetViews>
  <sheetFormatPr defaultRowHeight="15"/>
  <cols>
    <col min="1" max="1" width="4" customWidth="1"/>
    <col min="2" max="2" width="3.7109375" customWidth="1"/>
    <col min="3" max="3" width="39.42578125" customWidth="1"/>
    <col min="4" max="4" width="12.28515625" customWidth="1"/>
    <col min="5" max="5" width="38.7109375" customWidth="1"/>
    <col min="6" max="6" width="12.140625" customWidth="1"/>
    <col min="257" max="257" width="4" customWidth="1"/>
    <col min="258" max="258" width="3.7109375" customWidth="1"/>
    <col min="259" max="259" width="31" customWidth="1"/>
    <col min="260" max="260" width="12.28515625" customWidth="1"/>
    <col min="261" max="261" width="32.7109375" customWidth="1"/>
    <col min="262" max="262" width="10.28515625" bestFit="1" customWidth="1"/>
    <col min="513" max="513" width="4" customWidth="1"/>
    <col min="514" max="514" width="3.7109375" customWidth="1"/>
    <col min="515" max="515" width="31" customWidth="1"/>
    <col min="516" max="516" width="12.28515625" customWidth="1"/>
    <col min="517" max="517" width="32.7109375" customWidth="1"/>
    <col min="518" max="518" width="10.28515625" bestFit="1" customWidth="1"/>
    <col min="769" max="769" width="4" customWidth="1"/>
    <col min="770" max="770" width="3.7109375" customWidth="1"/>
    <col min="771" max="771" width="31" customWidth="1"/>
    <col min="772" max="772" width="12.28515625" customWidth="1"/>
    <col min="773" max="773" width="32.7109375" customWidth="1"/>
    <col min="774" max="774" width="10.28515625" bestFit="1" customWidth="1"/>
    <col min="1025" max="1025" width="4" customWidth="1"/>
    <col min="1026" max="1026" width="3.7109375" customWidth="1"/>
    <col min="1027" max="1027" width="31" customWidth="1"/>
    <col min="1028" max="1028" width="12.28515625" customWidth="1"/>
    <col min="1029" max="1029" width="32.7109375" customWidth="1"/>
    <col min="1030" max="1030" width="10.28515625" bestFit="1" customWidth="1"/>
    <col min="1281" max="1281" width="4" customWidth="1"/>
    <col min="1282" max="1282" width="3.7109375" customWidth="1"/>
    <col min="1283" max="1283" width="31" customWidth="1"/>
    <col min="1284" max="1284" width="12.28515625" customWidth="1"/>
    <col min="1285" max="1285" width="32.7109375" customWidth="1"/>
    <col min="1286" max="1286" width="10.28515625" bestFit="1" customWidth="1"/>
    <col min="1537" max="1537" width="4" customWidth="1"/>
    <col min="1538" max="1538" width="3.7109375" customWidth="1"/>
    <col min="1539" max="1539" width="31" customWidth="1"/>
    <col min="1540" max="1540" width="12.28515625" customWidth="1"/>
    <col min="1541" max="1541" width="32.7109375" customWidth="1"/>
    <col min="1542" max="1542" width="10.28515625" bestFit="1" customWidth="1"/>
    <col min="1793" max="1793" width="4" customWidth="1"/>
    <col min="1794" max="1794" width="3.7109375" customWidth="1"/>
    <col min="1795" max="1795" width="31" customWidth="1"/>
    <col min="1796" max="1796" width="12.28515625" customWidth="1"/>
    <col min="1797" max="1797" width="32.7109375" customWidth="1"/>
    <col min="1798" max="1798" width="10.28515625" bestFit="1" customWidth="1"/>
    <col min="2049" max="2049" width="4" customWidth="1"/>
    <col min="2050" max="2050" width="3.7109375" customWidth="1"/>
    <col min="2051" max="2051" width="31" customWidth="1"/>
    <col min="2052" max="2052" width="12.28515625" customWidth="1"/>
    <col min="2053" max="2053" width="32.7109375" customWidth="1"/>
    <col min="2054" max="2054" width="10.28515625" bestFit="1" customWidth="1"/>
    <col min="2305" max="2305" width="4" customWidth="1"/>
    <col min="2306" max="2306" width="3.7109375" customWidth="1"/>
    <col min="2307" max="2307" width="31" customWidth="1"/>
    <col min="2308" max="2308" width="12.28515625" customWidth="1"/>
    <col min="2309" max="2309" width="32.7109375" customWidth="1"/>
    <col min="2310" max="2310" width="10.28515625" bestFit="1" customWidth="1"/>
    <col min="2561" max="2561" width="4" customWidth="1"/>
    <col min="2562" max="2562" width="3.7109375" customWidth="1"/>
    <col min="2563" max="2563" width="31" customWidth="1"/>
    <col min="2564" max="2564" width="12.28515625" customWidth="1"/>
    <col min="2565" max="2565" width="32.7109375" customWidth="1"/>
    <col min="2566" max="2566" width="10.28515625" bestFit="1" customWidth="1"/>
    <col min="2817" max="2817" width="4" customWidth="1"/>
    <col min="2818" max="2818" width="3.7109375" customWidth="1"/>
    <col min="2819" max="2819" width="31" customWidth="1"/>
    <col min="2820" max="2820" width="12.28515625" customWidth="1"/>
    <col min="2821" max="2821" width="32.7109375" customWidth="1"/>
    <col min="2822" max="2822" width="10.28515625" bestFit="1" customWidth="1"/>
    <col min="3073" max="3073" width="4" customWidth="1"/>
    <col min="3074" max="3074" width="3.7109375" customWidth="1"/>
    <col min="3075" max="3075" width="31" customWidth="1"/>
    <col min="3076" max="3076" width="12.28515625" customWidth="1"/>
    <col min="3077" max="3077" width="32.7109375" customWidth="1"/>
    <col min="3078" max="3078" width="10.28515625" bestFit="1" customWidth="1"/>
    <col min="3329" max="3329" width="4" customWidth="1"/>
    <col min="3330" max="3330" width="3.7109375" customWidth="1"/>
    <col min="3331" max="3331" width="31" customWidth="1"/>
    <col min="3332" max="3332" width="12.28515625" customWidth="1"/>
    <col min="3333" max="3333" width="32.7109375" customWidth="1"/>
    <col min="3334" max="3334" width="10.28515625" bestFit="1" customWidth="1"/>
    <col min="3585" max="3585" width="4" customWidth="1"/>
    <col min="3586" max="3586" width="3.7109375" customWidth="1"/>
    <col min="3587" max="3587" width="31" customWidth="1"/>
    <col min="3588" max="3588" width="12.28515625" customWidth="1"/>
    <col min="3589" max="3589" width="32.7109375" customWidth="1"/>
    <col min="3590" max="3590" width="10.28515625" bestFit="1" customWidth="1"/>
    <col min="3841" max="3841" width="4" customWidth="1"/>
    <col min="3842" max="3842" width="3.7109375" customWidth="1"/>
    <col min="3843" max="3843" width="31" customWidth="1"/>
    <col min="3844" max="3844" width="12.28515625" customWidth="1"/>
    <col min="3845" max="3845" width="32.7109375" customWidth="1"/>
    <col min="3846" max="3846" width="10.28515625" bestFit="1" customWidth="1"/>
    <col min="4097" max="4097" width="4" customWidth="1"/>
    <col min="4098" max="4098" width="3.7109375" customWidth="1"/>
    <col min="4099" max="4099" width="31" customWidth="1"/>
    <col min="4100" max="4100" width="12.28515625" customWidth="1"/>
    <col min="4101" max="4101" width="32.7109375" customWidth="1"/>
    <col min="4102" max="4102" width="10.28515625" bestFit="1" customWidth="1"/>
    <col min="4353" max="4353" width="4" customWidth="1"/>
    <col min="4354" max="4354" width="3.7109375" customWidth="1"/>
    <col min="4355" max="4355" width="31" customWidth="1"/>
    <col min="4356" max="4356" width="12.28515625" customWidth="1"/>
    <col min="4357" max="4357" width="32.7109375" customWidth="1"/>
    <col min="4358" max="4358" width="10.28515625" bestFit="1" customWidth="1"/>
    <col min="4609" max="4609" width="4" customWidth="1"/>
    <col min="4610" max="4610" width="3.7109375" customWidth="1"/>
    <col min="4611" max="4611" width="31" customWidth="1"/>
    <col min="4612" max="4612" width="12.28515625" customWidth="1"/>
    <col min="4613" max="4613" width="32.7109375" customWidth="1"/>
    <col min="4614" max="4614" width="10.28515625" bestFit="1" customWidth="1"/>
    <col min="4865" max="4865" width="4" customWidth="1"/>
    <col min="4866" max="4866" width="3.7109375" customWidth="1"/>
    <col min="4867" max="4867" width="31" customWidth="1"/>
    <col min="4868" max="4868" width="12.28515625" customWidth="1"/>
    <col min="4869" max="4869" width="32.7109375" customWidth="1"/>
    <col min="4870" max="4870" width="10.28515625" bestFit="1" customWidth="1"/>
    <col min="5121" max="5121" width="4" customWidth="1"/>
    <col min="5122" max="5122" width="3.7109375" customWidth="1"/>
    <col min="5123" max="5123" width="31" customWidth="1"/>
    <col min="5124" max="5124" width="12.28515625" customWidth="1"/>
    <col min="5125" max="5125" width="32.7109375" customWidth="1"/>
    <col min="5126" max="5126" width="10.28515625" bestFit="1" customWidth="1"/>
    <col min="5377" max="5377" width="4" customWidth="1"/>
    <col min="5378" max="5378" width="3.7109375" customWidth="1"/>
    <col min="5379" max="5379" width="31" customWidth="1"/>
    <col min="5380" max="5380" width="12.28515625" customWidth="1"/>
    <col min="5381" max="5381" width="32.7109375" customWidth="1"/>
    <col min="5382" max="5382" width="10.28515625" bestFit="1" customWidth="1"/>
    <col min="5633" max="5633" width="4" customWidth="1"/>
    <col min="5634" max="5634" width="3.7109375" customWidth="1"/>
    <col min="5635" max="5635" width="31" customWidth="1"/>
    <col min="5636" max="5636" width="12.28515625" customWidth="1"/>
    <col min="5637" max="5637" width="32.7109375" customWidth="1"/>
    <col min="5638" max="5638" width="10.28515625" bestFit="1" customWidth="1"/>
    <col min="5889" max="5889" width="4" customWidth="1"/>
    <col min="5890" max="5890" width="3.7109375" customWidth="1"/>
    <col min="5891" max="5891" width="31" customWidth="1"/>
    <col min="5892" max="5892" width="12.28515625" customWidth="1"/>
    <col min="5893" max="5893" width="32.7109375" customWidth="1"/>
    <col min="5894" max="5894" width="10.28515625" bestFit="1" customWidth="1"/>
    <col min="6145" max="6145" width="4" customWidth="1"/>
    <col min="6146" max="6146" width="3.7109375" customWidth="1"/>
    <col min="6147" max="6147" width="31" customWidth="1"/>
    <col min="6148" max="6148" width="12.28515625" customWidth="1"/>
    <col min="6149" max="6149" width="32.7109375" customWidth="1"/>
    <col min="6150" max="6150" width="10.28515625" bestFit="1" customWidth="1"/>
    <col min="6401" max="6401" width="4" customWidth="1"/>
    <col min="6402" max="6402" width="3.7109375" customWidth="1"/>
    <col min="6403" max="6403" width="31" customWidth="1"/>
    <col min="6404" max="6404" width="12.28515625" customWidth="1"/>
    <col min="6405" max="6405" width="32.7109375" customWidth="1"/>
    <col min="6406" max="6406" width="10.28515625" bestFit="1" customWidth="1"/>
    <col min="6657" max="6657" width="4" customWidth="1"/>
    <col min="6658" max="6658" width="3.7109375" customWidth="1"/>
    <col min="6659" max="6659" width="31" customWidth="1"/>
    <col min="6660" max="6660" width="12.28515625" customWidth="1"/>
    <col min="6661" max="6661" width="32.7109375" customWidth="1"/>
    <col min="6662" max="6662" width="10.28515625" bestFit="1" customWidth="1"/>
    <col min="6913" max="6913" width="4" customWidth="1"/>
    <col min="6914" max="6914" width="3.7109375" customWidth="1"/>
    <col min="6915" max="6915" width="31" customWidth="1"/>
    <col min="6916" max="6916" width="12.28515625" customWidth="1"/>
    <col min="6917" max="6917" width="32.7109375" customWidth="1"/>
    <col min="6918" max="6918" width="10.28515625" bestFit="1" customWidth="1"/>
    <col min="7169" max="7169" width="4" customWidth="1"/>
    <col min="7170" max="7170" width="3.7109375" customWidth="1"/>
    <col min="7171" max="7171" width="31" customWidth="1"/>
    <col min="7172" max="7172" width="12.28515625" customWidth="1"/>
    <col min="7173" max="7173" width="32.7109375" customWidth="1"/>
    <col min="7174" max="7174" width="10.28515625" bestFit="1" customWidth="1"/>
    <col min="7425" max="7425" width="4" customWidth="1"/>
    <col min="7426" max="7426" width="3.7109375" customWidth="1"/>
    <col min="7427" max="7427" width="31" customWidth="1"/>
    <col min="7428" max="7428" width="12.28515625" customWidth="1"/>
    <col min="7429" max="7429" width="32.7109375" customWidth="1"/>
    <col min="7430" max="7430" width="10.28515625" bestFit="1" customWidth="1"/>
    <col min="7681" max="7681" width="4" customWidth="1"/>
    <col min="7682" max="7682" width="3.7109375" customWidth="1"/>
    <col min="7683" max="7683" width="31" customWidth="1"/>
    <col min="7684" max="7684" width="12.28515625" customWidth="1"/>
    <col min="7685" max="7685" width="32.7109375" customWidth="1"/>
    <col min="7686" max="7686" width="10.28515625" bestFit="1" customWidth="1"/>
    <col min="7937" max="7937" width="4" customWidth="1"/>
    <col min="7938" max="7938" width="3.7109375" customWidth="1"/>
    <col min="7939" max="7939" width="31" customWidth="1"/>
    <col min="7940" max="7940" width="12.28515625" customWidth="1"/>
    <col min="7941" max="7941" width="32.7109375" customWidth="1"/>
    <col min="7942" max="7942" width="10.28515625" bestFit="1" customWidth="1"/>
    <col min="8193" max="8193" width="4" customWidth="1"/>
    <col min="8194" max="8194" width="3.7109375" customWidth="1"/>
    <col min="8195" max="8195" width="31" customWidth="1"/>
    <col min="8196" max="8196" width="12.28515625" customWidth="1"/>
    <col min="8197" max="8197" width="32.7109375" customWidth="1"/>
    <col min="8198" max="8198" width="10.28515625" bestFit="1" customWidth="1"/>
    <col min="8449" max="8449" width="4" customWidth="1"/>
    <col min="8450" max="8450" width="3.7109375" customWidth="1"/>
    <col min="8451" max="8451" width="31" customWidth="1"/>
    <col min="8452" max="8452" width="12.28515625" customWidth="1"/>
    <col min="8453" max="8453" width="32.7109375" customWidth="1"/>
    <col min="8454" max="8454" width="10.28515625" bestFit="1" customWidth="1"/>
    <col min="8705" max="8705" width="4" customWidth="1"/>
    <col min="8706" max="8706" width="3.7109375" customWidth="1"/>
    <col min="8707" max="8707" width="31" customWidth="1"/>
    <col min="8708" max="8708" width="12.28515625" customWidth="1"/>
    <col min="8709" max="8709" width="32.7109375" customWidth="1"/>
    <col min="8710" max="8710" width="10.28515625" bestFit="1" customWidth="1"/>
    <col min="8961" max="8961" width="4" customWidth="1"/>
    <col min="8962" max="8962" width="3.7109375" customWidth="1"/>
    <col min="8963" max="8963" width="31" customWidth="1"/>
    <col min="8964" max="8964" width="12.28515625" customWidth="1"/>
    <col min="8965" max="8965" width="32.7109375" customWidth="1"/>
    <col min="8966" max="8966" width="10.28515625" bestFit="1" customWidth="1"/>
    <col min="9217" max="9217" width="4" customWidth="1"/>
    <col min="9218" max="9218" width="3.7109375" customWidth="1"/>
    <col min="9219" max="9219" width="31" customWidth="1"/>
    <col min="9220" max="9220" width="12.28515625" customWidth="1"/>
    <col min="9221" max="9221" width="32.7109375" customWidth="1"/>
    <col min="9222" max="9222" width="10.28515625" bestFit="1" customWidth="1"/>
    <col min="9473" max="9473" width="4" customWidth="1"/>
    <col min="9474" max="9474" width="3.7109375" customWidth="1"/>
    <col min="9475" max="9475" width="31" customWidth="1"/>
    <col min="9476" max="9476" width="12.28515625" customWidth="1"/>
    <col min="9477" max="9477" width="32.7109375" customWidth="1"/>
    <col min="9478" max="9478" width="10.28515625" bestFit="1" customWidth="1"/>
    <col min="9729" max="9729" width="4" customWidth="1"/>
    <col min="9730" max="9730" width="3.7109375" customWidth="1"/>
    <col min="9731" max="9731" width="31" customWidth="1"/>
    <col min="9732" max="9732" width="12.28515625" customWidth="1"/>
    <col min="9733" max="9733" width="32.7109375" customWidth="1"/>
    <col min="9734" max="9734" width="10.28515625" bestFit="1" customWidth="1"/>
    <col min="9985" max="9985" width="4" customWidth="1"/>
    <col min="9986" max="9986" width="3.7109375" customWidth="1"/>
    <col min="9987" max="9987" width="31" customWidth="1"/>
    <col min="9988" max="9988" width="12.28515625" customWidth="1"/>
    <col min="9989" max="9989" width="32.7109375" customWidth="1"/>
    <col min="9990" max="9990" width="10.28515625" bestFit="1" customWidth="1"/>
    <col min="10241" max="10241" width="4" customWidth="1"/>
    <col min="10242" max="10242" width="3.7109375" customWidth="1"/>
    <col min="10243" max="10243" width="31" customWidth="1"/>
    <col min="10244" max="10244" width="12.28515625" customWidth="1"/>
    <col min="10245" max="10245" width="32.7109375" customWidth="1"/>
    <col min="10246" max="10246" width="10.28515625" bestFit="1" customWidth="1"/>
    <col min="10497" max="10497" width="4" customWidth="1"/>
    <col min="10498" max="10498" width="3.7109375" customWidth="1"/>
    <col min="10499" max="10499" width="31" customWidth="1"/>
    <col min="10500" max="10500" width="12.28515625" customWidth="1"/>
    <col min="10501" max="10501" width="32.7109375" customWidth="1"/>
    <col min="10502" max="10502" width="10.28515625" bestFit="1" customWidth="1"/>
    <col min="10753" max="10753" width="4" customWidth="1"/>
    <col min="10754" max="10754" width="3.7109375" customWidth="1"/>
    <col min="10755" max="10755" width="31" customWidth="1"/>
    <col min="10756" max="10756" width="12.28515625" customWidth="1"/>
    <col min="10757" max="10757" width="32.7109375" customWidth="1"/>
    <col min="10758" max="10758" width="10.28515625" bestFit="1" customWidth="1"/>
    <col min="11009" max="11009" width="4" customWidth="1"/>
    <col min="11010" max="11010" width="3.7109375" customWidth="1"/>
    <col min="11011" max="11011" width="31" customWidth="1"/>
    <col min="11012" max="11012" width="12.28515625" customWidth="1"/>
    <col min="11013" max="11013" width="32.7109375" customWidth="1"/>
    <col min="11014" max="11014" width="10.28515625" bestFit="1" customWidth="1"/>
    <col min="11265" max="11265" width="4" customWidth="1"/>
    <col min="11266" max="11266" width="3.7109375" customWidth="1"/>
    <col min="11267" max="11267" width="31" customWidth="1"/>
    <col min="11268" max="11268" width="12.28515625" customWidth="1"/>
    <col min="11269" max="11269" width="32.7109375" customWidth="1"/>
    <col min="11270" max="11270" width="10.28515625" bestFit="1" customWidth="1"/>
    <col min="11521" max="11521" width="4" customWidth="1"/>
    <col min="11522" max="11522" width="3.7109375" customWidth="1"/>
    <col min="11523" max="11523" width="31" customWidth="1"/>
    <col min="11524" max="11524" width="12.28515625" customWidth="1"/>
    <col min="11525" max="11525" width="32.7109375" customWidth="1"/>
    <col min="11526" max="11526" width="10.28515625" bestFit="1" customWidth="1"/>
    <col min="11777" max="11777" width="4" customWidth="1"/>
    <col min="11778" max="11778" width="3.7109375" customWidth="1"/>
    <col min="11779" max="11779" width="31" customWidth="1"/>
    <col min="11780" max="11780" width="12.28515625" customWidth="1"/>
    <col min="11781" max="11781" width="32.7109375" customWidth="1"/>
    <col min="11782" max="11782" width="10.28515625" bestFit="1" customWidth="1"/>
    <col min="12033" max="12033" width="4" customWidth="1"/>
    <col min="12034" max="12034" width="3.7109375" customWidth="1"/>
    <col min="12035" max="12035" width="31" customWidth="1"/>
    <col min="12036" max="12036" width="12.28515625" customWidth="1"/>
    <col min="12037" max="12037" width="32.7109375" customWidth="1"/>
    <col min="12038" max="12038" width="10.28515625" bestFit="1" customWidth="1"/>
    <col min="12289" max="12289" width="4" customWidth="1"/>
    <col min="12290" max="12290" width="3.7109375" customWidth="1"/>
    <col min="12291" max="12291" width="31" customWidth="1"/>
    <col min="12292" max="12292" width="12.28515625" customWidth="1"/>
    <col min="12293" max="12293" width="32.7109375" customWidth="1"/>
    <col min="12294" max="12294" width="10.28515625" bestFit="1" customWidth="1"/>
    <col min="12545" max="12545" width="4" customWidth="1"/>
    <col min="12546" max="12546" width="3.7109375" customWidth="1"/>
    <col min="12547" max="12547" width="31" customWidth="1"/>
    <col min="12548" max="12548" width="12.28515625" customWidth="1"/>
    <col min="12549" max="12549" width="32.7109375" customWidth="1"/>
    <col min="12550" max="12550" width="10.28515625" bestFit="1" customWidth="1"/>
    <col min="12801" max="12801" width="4" customWidth="1"/>
    <col min="12802" max="12802" width="3.7109375" customWidth="1"/>
    <col min="12803" max="12803" width="31" customWidth="1"/>
    <col min="12804" max="12804" width="12.28515625" customWidth="1"/>
    <col min="12805" max="12805" width="32.7109375" customWidth="1"/>
    <col min="12806" max="12806" width="10.28515625" bestFit="1" customWidth="1"/>
    <col min="13057" max="13057" width="4" customWidth="1"/>
    <col min="13058" max="13058" width="3.7109375" customWidth="1"/>
    <col min="13059" max="13059" width="31" customWidth="1"/>
    <col min="13060" max="13060" width="12.28515625" customWidth="1"/>
    <col min="13061" max="13061" width="32.7109375" customWidth="1"/>
    <col min="13062" max="13062" width="10.28515625" bestFit="1" customWidth="1"/>
    <col min="13313" max="13313" width="4" customWidth="1"/>
    <col min="13314" max="13314" width="3.7109375" customWidth="1"/>
    <col min="13315" max="13315" width="31" customWidth="1"/>
    <col min="13316" max="13316" width="12.28515625" customWidth="1"/>
    <col min="13317" max="13317" width="32.7109375" customWidth="1"/>
    <col min="13318" max="13318" width="10.28515625" bestFit="1" customWidth="1"/>
    <col min="13569" max="13569" width="4" customWidth="1"/>
    <col min="13570" max="13570" width="3.7109375" customWidth="1"/>
    <col min="13571" max="13571" width="31" customWidth="1"/>
    <col min="13572" max="13572" width="12.28515625" customWidth="1"/>
    <col min="13573" max="13573" width="32.7109375" customWidth="1"/>
    <col min="13574" max="13574" width="10.28515625" bestFit="1" customWidth="1"/>
    <col min="13825" max="13825" width="4" customWidth="1"/>
    <col min="13826" max="13826" width="3.7109375" customWidth="1"/>
    <col min="13827" max="13827" width="31" customWidth="1"/>
    <col min="13828" max="13828" width="12.28515625" customWidth="1"/>
    <col min="13829" max="13829" width="32.7109375" customWidth="1"/>
    <col min="13830" max="13830" width="10.28515625" bestFit="1" customWidth="1"/>
    <col min="14081" max="14081" width="4" customWidth="1"/>
    <col min="14082" max="14082" width="3.7109375" customWidth="1"/>
    <col min="14083" max="14083" width="31" customWidth="1"/>
    <col min="14084" max="14084" width="12.28515625" customWidth="1"/>
    <col min="14085" max="14085" width="32.7109375" customWidth="1"/>
    <col min="14086" max="14086" width="10.28515625" bestFit="1" customWidth="1"/>
    <col min="14337" max="14337" width="4" customWidth="1"/>
    <col min="14338" max="14338" width="3.7109375" customWidth="1"/>
    <col min="14339" max="14339" width="31" customWidth="1"/>
    <col min="14340" max="14340" width="12.28515625" customWidth="1"/>
    <col min="14341" max="14341" width="32.7109375" customWidth="1"/>
    <col min="14342" max="14342" width="10.28515625" bestFit="1" customWidth="1"/>
    <col min="14593" max="14593" width="4" customWidth="1"/>
    <col min="14594" max="14594" width="3.7109375" customWidth="1"/>
    <col min="14595" max="14595" width="31" customWidth="1"/>
    <col min="14596" max="14596" width="12.28515625" customWidth="1"/>
    <col min="14597" max="14597" width="32.7109375" customWidth="1"/>
    <col min="14598" max="14598" width="10.28515625" bestFit="1" customWidth="1"/>
    <col min="14849" max="14849" width="4" customWidth="1"/>
    <col min="14850" max="14850" width="3.7109375" customWidth="1"/>
    <col min="14851" max="14851" width="31" customWidth="1"/>
    <col min="14852" max="14852" width="12.28515625" customWidth="1"/>
    <col min="14853" max="14853" width="32.7109375" customWidth="1"/>
    <col min="14854" max="14854" width="10.28515625" bestFit="1" customWidth="1"/>
    <col min="15105" max="15105" width="4" customWidth="1"/>
    <col min="15106" max="15106" width="3.7109375" customWidth="1"/>
    <col min="15107" max="15107" width="31" customWidth="1"/>
    <col min="15108" max="15108" width="12.28515625" customWidth="1"/>
    <col min="15109" max="15109" width="32.7109375" customWidth="1"/>
    <col min="15110" max="15110" width="10.28515625" bestFit="1" customWidth="1"/>
    <col min="15361" max="15361" width="4" customWidth="1"/>
    <col min="15362" max="15362" width="3.7109375" customWidth="1"/>
    <col min="15363" max="15363" width="31" customWidth="1"/>
    <col min="15364" max="15364" width="12.28515625" customWidth="1"/>
    <col min="15365" max="15365" width="32.7109375" customWidth="1"/>
    <col min="15366" max="15366" width="10.28515625" bestFit="1" customWidth="1"/>
    <col min="15617" max="15617" width="4" customWidth="1"/>
    <col min="15618" max="15618" width="3.7109375" customWidth="1"/>
    <col min="15619" max="15619" width="31" customWidth="1"/>
    <col min="15620" max="15620" width="12.28515625" customWidth="1"/>
    <col min="15621" max="15621" width="32.7109375" customWidth="1"/>
    <col min="15622" max="15622" width="10.28515625" bestFit="1" customWidth="1"/>
    <col min="15873" max="15873" width="4" customWidth="1"/>
    <col min="15874" max="15874" width="3.7109375" customWidth="1"/>
    <col min="15875" max="15875" width="31" customWidth="1"/>
    <col min="15876" max="15876" width="12.28515625" customWidth="1"/>
    <col min="15877" max="15877" width="32.7109375" customWidth="1"/>
    <col min="15878" max="15878" width="10.28515625" bestFit="1" customWidth="1"/>
    <col min="16129" max="16129" width="4" customWidth="1"/>
    <col min="16130" max="16130" width="3.7109375" customWidth="1"/>
    <col min="16131" max="16131" width="31" customWidth="1"/>
    <col min="16132" max="16132" width="12.28515625" customWidth="1"/>
    <col min="16133" max="16133" width="32.7109375" customWidth="1"/>
    <col min="16134" max="16134" width="10.28515625" bestFit="1" customWidth="1"/>
  </cols>
  <sheetData>
    <row r="1" spans="3:8" ht="18">
      <c r="D1" s="100" t="s">
        <v>74</v>
      </c>
    </row>
    <row r="2" spans="3:8" s="287" customFormat="1" ht="8.25"/>
    <row r="3" spans="3:8">
      <c r="C3" s="571" t="s">
        <v>75</v>
      </c>
      <c r="D3" s="571"/>
      <c r="E3" s="571"/>
      <c r="F3" s="571"/>
      <c r="G3" s="571"/>
      <c r="H3" s="571"/>
    </row>
    <row r="4" spans="3:8" s="152" customFormat="1" ht="11.25">
      <c r="C4" s="572"/>
      <c r="D4" s="572"/>
      <c r="E4" s="572"/>
      <c r="F4" s="572"/>
    </row>
    <row r="5" spans="3:8" s="152" customFormat="1" ht="11.25">
      <c r="C5" s="563" t="s">
        <v>0</v>
      </c>
      <c r="D5" s="563"/>
      <c r="E5" s="563"/>
      <c r="F5" s="563"/>
    </row>
    <row r="6" spans="3:8" s="152" customFormat="1" ht="11.25">
      <c r="C6" s="426"/>
      <c r="D6" s="426"/>
      <c r="E6" s="427"/>
      <c r="F6" s="426"/>
    </row>
    <row r="7" spans="3:8" s="152" customFormat="1" ht="11.25">
      <c r="C7" s="563" t="s">
        <v>161</v>
      </c>
      <c r="D7" s="563"/>
      <c r="E7" s="563"/>
      <c r="F7" s="563"/>
    </row>
    <row r="8" spans="3:8" s="152" customFormat="1" ht="11.25">
      <c r="C8" s="563" t="s">
        <v>76</v>
      </c>
      <c r="D8" s="563"/>
      <c r="E8" s="563"/>
      <c r="F8" s="563"/>
    </row>
    <row r="9" spans="3:8" s="152" customFormat="1" ht="11.25">
      <c r="C9" s="570" t="s">
        <v>77</v>
      </c>
      <c r="D9" s="570"/>
      <c r="E9" s="570"/>
      <c r="F9" s="570"/>
    </row>
    <row r="10" spans="3:8" s="152" customFormat="1" ht="11.25">
      <c r="C10" s="563" t="s">
        <v>126</v>
      </c>
      <c r="D10" s="563"/>
      <c r="E10" s="563"/>
      <c r="F10" s="563"/>
    </row>
    <row r="11" spans="3:8">
      <c r="C11" s="564" t="s">
        <v>78</v>
      </c>
      <c r="D11" s="564"/>
      <c r="E11" s="565">
        <v>1</v>
      </c>
      <c r="F11" s="566"/>
    </row>
    <row r="12" spans="3:8">
      <c r="C12" s="567" t="s">
        <v>79</v>
      </c>
      <c r="D12" s="568"/>
      <c r="E12" s="569" t="s">
        <v>80</v>
      </c>
      <c r="F12" s="568"/>
    </row>
    <row r="13" spans="3:8">
      <c r="C13" s="8" t="s">
        <v>81</v>
      </c>
      <c r="D13" s="8" t="s">
        <v>9</v>
      </c>
      <c r="E13" s="7" t="s">
        <v>81</v>
      </c>
      <c r="F13" s="8" t="s">
        <v>9</v>
      </c>
    </row>
    <row r="14" spans="3:8" ht="33.75">
      <c r="C14" s="101" t="s">
        <v>1279</v>
      </c>
      <c r="D14" s="102">
        <f>((1192-1100)*13)*160</f>
        <v>191360</v>
      </c>
      <c r="E14" s="103" t="s">
        <v>82</v>
      </c>
      <c r="F14" s="102">
        <f>((1192-1100)*13)*160</f>
        <v>191360</v>
      </c>
    </row>
    <row r="15" spans="3:8">
      <c r="C15" s="101" t="s">
        <v>83</v>
      </c>
      <c r="D15" s="102"/>
      <c r="E15" s="103" t="s">
        <v>84</v>
      </c>
      <c r="F15" s="102">
        <v>2147140.2799999998</v>
      </c>
    </row>
    <row r="16" spans="3:8">
      <c r="C16" s="101" t="s">
        <v>85</v>
      </c>
      <c r="D16" s="102"/>
      <c r="E16" s="103"/>
      <c r="F16" s="102"/>
      <c r="H16" s="216"/>
    </row>
    <row r="17" spans="1:11" ht="22.5">
      <c r="C17" s="101" t="s">
        <v>1280</v>
      </c>
      <c r="D17" s="102"/>
      <c r="E17" s="101"/>
      <c r="F17" s="102"/>
      <c r="H17" s="104"/>
    </row>
    <row r="18" spans="1:11" ht="22.5">
      <c r="C18" s="101" t="s">
        <v>1281</v>
      </c>
      <c r="D18" s="102"/>
      <c r="E18" s="101"/>
      <c r="F18" s="102"/>
      <c r="H18" s="104"/>
    </row>
    <row r="19" spans="1:11" ht="24.75" customHeight="1">
      <c r="C19" s="101" t="s">
        <v>134</v>
      </c>
      <c r="D19" s="102">
        <f>(((778633.29/0.33)*0.4)-778633.29)*13</f>
        <v>2147140.2845454551</v>
      </c>
      <c r="E19" s="101"/>
      <c r="F19" s="102"/>
    </row>
    <row r="20" spans="1:11">
      <c r="C20" s="101" t="s">
        <v>1282</v>
      </c>
      <c r="D20" s="102"/>
      <c r="E20" s="101"/>
      <c r="F20" s="102"/>
    </row>
    <row r="21" spans="1:11" ht="22.5">
      <c r="C21" s="105" t="s">
        <v>86</v>
      </c>
      <c r="D21" s="106"/>
      <c r="E21" s="107"/>
      <c r="F21" s="106"/>
    </row>
    <row r="22" spans="1:11">
      <c r="C22" s="105" t="s">
        <v>32</v>
      </c>
      <c r="D22" s="108">
        <f>SUM(D14:D21)</f>
        <v>2338500.2845454551</v>
      </c>
      <c r="E22" s="107" t="s">
        <v>32</v>
      </c>
      <c r="F22" s="106">
        <f>SUM(F14:F21)</f>
        <v>2338500.2799999998</v>
      </c>
    </row>
    <row r="23" spans="1:11" s="152" customFormat="1" ht="11.25">
      <c r="C23" s="109" t="s">
        <v>87</v>
      </c>
      <c r="D23" s="109"/>
      <c r="E23" s="109"/>
      <c r="F23" s="110">
        <f>D22-F22</f>
        <v>4.5454553328454494E-3</v>
      </c>
    </row>
    <row r="24" spans="1:11">
      <c r="C24" s="171" t="s">
        <v>133</v>
      </c>
      <c r="D24" s="170"/>
      <c r="E24" s="170"/>
      <c r="F24" s="170"/>
    </row>
    <row r="25" spans="1:11">
      <c r="C25" s="430" t="s">
        <v>1277</v>
      </c>
      <c r="D25" s="170"/>
      <c r="E25" s="170"/>
      <c r="F25" s="170"/>
    </row>
    <row r="26" spans="1:11" ht="13.5" customHeight="1">
      <c r="A26" s="152" t="s">
        <v>1278</v>
      </c>
      <c r="E26" s="172"/>
    </row>
    <row r="27" spans="1:11" ht="13.5" customHeight="1">
      <c r="C27" t="s">
        <v>1276</v>
      </c>
    </row>
    <row r="31" spans="1:11" s="42" customFormat="1">
      <c r="A31" s="18"/>
      <c r="B31" s="431" t="s">
        <v>1283</v>
      </c>
      <c r="C31"/>
      <c r="D31" s="18"/>
      <c r="E31" s="18"/>
      <c r="F31" s="18"/>
      <c r="G31" s="18"/>
      <c r="H31" s="18"/>
      <c r="I31" s="18"/>
      <c r="J31" s="18"/>
      <c r="K31" s="18"/>
    </row>
    <row r="32" spans="1:11" s="42" customFormat="1">
      <c r="A32" s="18"/>
      <c r="B32" s="18" t="s">
        <v>24</v>
      </c>
      <c r="C32"/>
      <c r="D32" s="18"/>
      <c r="E32" s="18"/>
      <c r="F32" s="18"/>
      <c r="G32" s="18"/>
      <c r="H32" s="18"/>
      <c r="I32" s="18"/>
      <c r="J32" s="18"/>
      <c r="K32" s="18"/>
    </row>
    <row r="33" spans="1:11" s="42" customFormat="1" ht="11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42" customFormat="1" ht="8.25">
      <c r="A34" s="111"/>
      <c r="E34" s="112"/>
    </row>
  </sheetData>
  <mergeCells count="11">
    <mergeCell ref="C9:F9"/>
    <mergeCell ref="C3:H3"/>
    <mergeCell ref="C4:F4"/>
    <mergeCell ref="C5:F5"/>
    <mergeCell ref="C7:F7"/>
    <mergeCell ref="C8:F8"/>
    <mergeCell ref="C10:F10"/>
    <mergeCell ref="C11:D11"/>
    <mergeCell ref="E11:F11"/>
    <mergeCell ref="C12:D12"/>
    <mergeCell ref="E12:F1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I_Anexo</vt:lpstr>
      <vt:lpstr>II_Comp</vt:lpstr>
      <vt:lpstr>III_AoAno</vt:lpstr>
      <vt:lpstr>IV_Patrim</vt:lpstr>
      <vt:lpstr>V_Alinaç</vt:lpstr>
      <vt:lpstr>VI_Renun</vt:lpstr>
      <vt:lpstr>VII_RPPS</vt:lpstr>
      <vt:lpstr>VIII_Marg</vt:lpstr>
      <vt:lpstr>Risco</vt:lpstr>
      <vt:lpstr>Operaç_Créd</vt:lpstr>
      <vt:lpstr>RCL_Projetada</vt:lpstr>
      <vt:lpstr>Duodécimo</vt:lpstr>
      <vt:lpstr>Conv-Obras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2021-11-04T13:19:44Z</cp:lastPrinted>
  <dcterms:created xsi:type="dcterms:W3CDTF">2021-09-30T12:12:14Z</dcterms:created>
  <dcterms:modified xsi:type="dcterms:W3CDTF">2021-11-04T13:22:33Z</dcterms:modified>
</cp:coreProperties>
</file>